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40_allgemeines_abteilung\Fachstelle Sozialversicherungen\SpitexClearingstelle\WEB\2020\Abrechnungsformulare\"/>
    </mc:Choice>
  </mc:AlternateContent>
  <workbookProtection workbookPassword="D46B" lockStructure="1"/>
  <bookViews>
    <workbookView xWindow="0" yWindow="0" windowWidth="28800" windowHeight="10800" tabRatio="656" firstSheet="3" activeTab="3"/>
  </bookViews>
  <sheets>
    <sheet name="Wohnsitz" sheetId="2" state="hidden" r:id="rId1"/>
    <sheet name="Sammel-RG Wohnsitz" sheetId="1" state="hidden" r:id="rId2"/>
    <sheet name="Meldung Ferienaufenthalt" sheetId="8" state="hidden" r:id="rId3"/>
    <sheet name="Ferienaufenthalt SO" sheetId="7" r:id="rId4"/>
    <sheet name="Sammel-RG Ferien SO" sheetId="10"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K3" i="4" l="1"/>
  <c r="K3" i="10"/>
  <c r="A3" i="10"/>
  <c r="I1" i="7"/>
  <c r="H3" i="1"/>
  <c r="Y10" i="7" l="1"/>
  <c r="X10" i="7"/>
  <c r="W10" i="2" l="1"/>
  <c r="V10"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M17" i="10" s="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A28" i="10"/>
  <c r="M28" i="10" s="1"/>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K34" i="10" l="1"/>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A26" i="1"/>
  <c r="M26" i="1" s="1"/>
  <c r="A22" i="1"/>
  <c r="M22" i="1" s="1"/>
  <c r="A23" i="1"/>
  <c r="M23" i="1" s="1"/>
  <c r="A25" i="1"/>
  <c r="M25" i="1" s="1"/>
  <c r="A24" i="1"/>
  <c r="M24" i="1" s="1"/>
  <c r="B16" i="10"/>
  <c r="K30" i="10"/>
  <c r="J30" i="10"/>
  <c r="I30" i="10"/>
  <c r="B30" i="10"/>
  <c r="B26" i="10"/>
  <c r="B25" i="10"/>
  <c r="K27" i="10"/>
  <c r="J27" i="10"/>
  <c r="I27" i="10"/>
  <c r="B27" i="10"/>
  <c r="K29" i="10"/>
  <c r="J29" i="10"/>
  <c r="I29" i="10"/>
  <c r="B29" i="10"/>
  <c r="K28" i="10"/>
  <c r="J28" i="10"/>
  <c r="I28" i="10"/>
  <c r="B28" i="10"/>
  <c r="B17" i="10"/>
  <c r="B19" i="10"/>
  <c r="B20" i="10"/>
  <c r="B18" i="10"/>
  <c r="A16" i="1"/>
  <c r="M16" i="1" s="1"/>
  <c r="A17" i="1"/>
  <c r="M17" i="1" s="1"/>
  <c r="A19" i="1"/>
  <c r="M19" i="1" s="1"/>
  <c r="A30" i="1"/>
  <c r="M30" i="1" s="1"/>
  <c r="A18" i="1"/>
  <c r="M18" i="1" s="1"/>
  <c r="A27" i="1"/>
  <c r="M27" i="1" s="1"/>
  <c r="A20" i="1"/>
  <c r="M20" i="1" s="1"/>
  <c r="A28" i="1"/>
  <c r="M28" i="1" s="1"/>
  <c r="A21" i="1"/>
  <c r="M21" i="1" s="1"/>
  <c r="A29" i="1"/>
  <c r="M29" i="1" s="1"/>
  <c r="K34" i="1" l="1"/>
  <c r="C29" i="1"/>
  <c r="G29" i="1"/>
  <c r="F29" i="1"/>
  <c r="E29" i="1"/>
  <c r="C18" i="1"/>
  <c r="F18" i="1"/>
  <c r="E18" i="1"/>
  <c r="G18" i="1"/>
  <c r="C20" i="1"/>
  <c r="G20" i="1"/>
  <c r="F20" i="1"/>
  <c r="E20" i="1"/>
  <c r="C19" i="1"/>
  <c r="E19" i="1"/>
  <c r="G19" i="1"/>
  <c r="F19" i="1"/>
  <c r="E23" i="1"/>
  <c r="G23" i="1"/>
  <c r="F23" i="1"/>
  <c r="C27" i="1"/>
  <c r="G27" i="1"/>
  <c r="E27" i="1"/>
  <c r="F27" i="1"/>
  <c r="C17" i="1"/>
  <c r="G17" i="1"/>
  <c r="F17" i="1"/>
  <c r="E17" i="1"/>
  <c r="G22" i="1"/>
  <c r="F22" i="1"/>
  <c r="E22" i="1"/>
  <c r="E24" i="1"/>
  <c r="F24" i="1"/>
  <c r="G24" i="1"/>
  <c r="G26" i="1"/>
  <c r="F26" i="1"/>
  <c r="E26" i="1"/>
  <c r="C21" i="1"/>
  <c r="G21" i="1"/>
  <c r="F21" i="1"/>
  <c r="E21" i="1"/>
  <c r="C16" i="1"/>
  <c r="F16" i="1"/>
  <c r="G16" i="1"/>
  <c r="E16" i="1"/>
  <c r="C28" i="1"/>
  <c r="E28" i="1"/>
  <c r="F28" i="1"/>
  <c r="G28" i="1"/>
  <c r="C30" i="1"/>
  <c r="G30" i="1"/>
  <c r="F30" i="1"/>
  <c r="E30" i="1"/>
  <c r="G25" i="1"/>
  <c r="F25" i="1"/>
  <c r="E25"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R103" i="2" s="1"/>
  <c r="P108" i="2"/>
  <c r="S108" i="2" s="1"/>
  <c r="N89" i="2"/>
  <c r="Q89" i="2" s="1"/>
  <c r="O78" i="2"/>
  <c r="R78" i="2" s="1"/>
  <c r="O94" i="2"/>
  <c r="R94" i="2" s="1"/>
  <c r="P83" i="2"/>
  <c r="S83" i="2" s="1"/>
  <c r="P99" i="2"/>
  <c r="S99" i="2" s="1"/>
  <c r="N98" i="2"/>
  <c r="Q98" i="2" s="1"/>
  <c r="O99" i="2"/>
  <c r="R99" i="2" s="1"/>
  <c r="N73" i="2"/>
  <c r="Q73" i="2" s="1"/>
  <c r="N96" i="2"/>
  <c r="Q96" i="2" s="1"/>
  <c r="P86" i="2"/>
  <c r="S86" i="2" s="1"/>
  <c r="N107" i="2"/>
  <c r="Q107" i="2" s="1"/>
  <c r="P101" i="2"/>
  <c r="S101" i="2" s="1"/>
  <c r="N86" i="2"/>
  <c r="Q86" i="2" s="1"/>
  <c r="O95" i="2"/>
  <c r="R95" i="2" s="1"/>
  <c r="P100" i="2"/>
  <c r="S100" i="2" s="1"/>
  <c r="O77" i="2"/>
  <c r="R77" i="2" s="1"/>
  <c r="N104" i="2"/>
  <c r="Q104" i="2" s="1"/>
  <c r="O109" i="2"/>
  <c r="R109" i="2" s="1"/>
  <c r="N91" i="2"/>
  <c r="Q91" i="2" s="1"/>
  <c r="P85" i="2"/>
  <c r="S85" i="2" s="1"/>
  <c r="N76" i="2"/>
  <c r="Q76" i="2" s="1"/>
  <c r="O107" i="2"/>
  <c r="R107" i="2" s="1"/>
  <c r="O98" i="2"/>
  <c r="R98" i="2" s="1"/>
  <c r="O75" i="2"/>
  <c r="R75" i="2" s="1"/>
  <c r="P98" i="2"/>
  <c r="S98" i="2" s="1"/>
  <c r="P76" i="2"/>
  <c r="S76" i="2" s="1"/>
  <c r="P102" i="2"/>
  <c r="S102" i="2" s="1"/>
  <c r="O100" i="2"/>
  <c r="R100" i="2" s="1"/>
  <c r="N88" i="2"/>
  <c r="Q88" i="2" s="1"/>
  <c r="N106" i="2"/>
  <c r="Q106" i="2" s="1"/>
  <c r="O111" i="2"/>
  <c r="R111" i="2" s="1"/>
  <c r="N81" i="2"/>
  <c r="Q81" i="2" s="1"/>
  <c r="N97" i="2"/>
  <c r="Q97" i="2" s="1"/>
  <c r="O86" i="2"/>
  <c r="R86" i="2" s="1"/>
  <c r="P75" i="2"/>
  <c r="S75" i="2" s="1"/>
  <c r="P91" i="2"/>
  <c r="S91" i="2" s="1"/>
  <c r="N82" i="2"/>
  <c r="Q82" i="2" s="1"/>
  <c r="O83" i="2"/>
  <c r="R83" i="2" s="1"/>
  <c r="P88" i="2"/>
  <c r="S88" i="2" s="1"/>
  <c r="P111" i="2"/>
  <c r="S111" i="2" s="1"/>
  <c r="O89" i="2"/>
  <c r="R89" i="2" s="1"/>
  <c r="J27" i="4"/>
  <c r="M27" i="4" s="1"/>
  <c r="O104" i="2"/>
  <c r="R104" i="2" s="1"/>
  <c r="P109" i="2"/>
  <c r="S109" i="2" s="1"/>
  <c r="O79" i="2"/>
  <c r="R79" i="2" s="1"/>
  <c r="P84" i="2"/>
  <c r="S84" i="2" s="1"/>
  <c r="N80" i="2"/>
  <c r="Q80" i="2" s="1"/>
  <c r="P82" i="2"/>
  <c r="S82" i="2" s="1"/>
  <c r="O101" i="2"/>
  <c r="R101" i="2" s="1"/>
  <c r="P106" i="2"/>
  <c r="S106" i="2" s="1"/>
  <c r="N83" i="2"/>
  <c r="Q83" i="2" s="1"/>
  <c r="N99" i="2"/>
  <c r="Q99" i="2" s="1"/>
  <c r="O88" i="2"/>
  <c r="R88" i="2" s="1"/>
  <c r="P77" i="2"/>
  <c r="S77" i="2" s="1"/>
  <c r="P93" i="2"/>
  <c r="S93" i="2" s="1"/>
  <c r="N101" i="2"/>
  <c r="Q101" i="2" s="1"/>
  <c r="P103" i="2"/>
  <c r="S103" i="2" s="1"/>
  <c r="N100" i="2"/>
  <c r="Q100" i="2" s="1"/>
  <c r="P90" i="2"/>
  <c r="S90" i="2" s="1"/>
  <c r="N102" i="2"/>
  <c r="Q102" i="2" s="1"/>
  <c r="N93" i="2"/>
  <c r="Q93" i="2" s="1"/>
  <c r="N78" i="2"/>
  <c r="Q78" i="2" s="1"/>
  <c r="O102" i="2"/>
  <c r="R102" i="2" s="1"/>
  <c r="P105" i="2"/>
  <c r="S105" i="2" s="1"/>
  <c r="O93" i="2"/>
  <c r="R93" i="2" s="1"/>
  <c r="N79" i="2"/>
  <c r="Q79" i="2" s="1"/>
  <c r="O84" i="2"/>
  <c r="R84" i="2" s="1"/>
  <c r="O106" i="2"/>
  <c r="R106" i="2" s="1"/>
  <c r="P78" i="2"/>
  <c r="S78" i="2" s="1"/>
  <c r="N110" i="2"/>
  <c r="Q110" i="2" s="1"/>
  <c r="P104" i="2"/>
  <c r="S104" i="2" s="1"/>
  <c r="N85" i="2"/>
  <c r="Q85" i="2" s="1"/>
  <c r="O74" i="2"/>
  <c r="R74" i="2" s="1"/>
  <c r="O90" i="2"/>
  <c r="R90" i="2" s="1"/>
  <c r="P79" i="2"/>
  <c r="S79" i="2" s="1"/>
  <c r="P95" i="2"/>
  <c r="S95" i="2" s="1"/>
  <c r="N90" i="2"/>
  <c r="Q90" i="2" s="1"/>
  <c r="O91" i="2"/>
  <c r="R91" i="2" s="1"/>
  <c r="P96" i="2"/>
  <c r="S96" i="2" s="1"/>
  <c r="N84" i="2"/>
  <c r="Q84" i="2" s="1"/>
  <c r="P74" i="2"/>
  <c r="S74" i="2" s="1"/>
  <c r="N103" i="2"/>
  <c r="Q103" i="2" s="1"/>
  <c r="O108" i="2"/>
  <c r="R108" i="2" s="1"/>
  <c r="N74" i="2"/>
  <c r="Q74" i="2" s="1"/>
  <c r="O87" i="2"/>
  <c r="R87" i="2" s="1"/>
  <c r="P92" i="2"/>
  <c r="S92" i="2" s="1"/>
  <c r="N92" i="2"/>
  <c r="Q92" i="2" s="1"/>
  <c r="P94" i="2"/>
  <c r="S94" i="2" s="1"/>
  <c r="O105" i="2"/>
  <c r="R105" i="2" s="1"/>
  <c r="P110" i="2"/>
  <c r="S110" i="2" s="1"/>
  <c r="N87" i="2"/>
  <c r="Q87" i="2" s="1"/>
  <c r="O76" i="2"/>
  <c r="R76" i="2" s="1"/>
  <c r="O92" i="2"/>
  <c r="R92" i="2" s="1"/>
  <c r="P81" i="2"/>
  <c r="S81" i="2" s="1"/>
  <c r="P97" i="2"/>
  <c r="S97" i="2" s="1"/>
  <c r="N105" i="2"/>
  <c r="Q105" i="2" s="1"/>
  <c r="P107" i="2"/>
  <c r="S107" i="2" s="1"/>
  <c r="O85" i="2"/>
  <c r="R85" i="2" s="1"/>
  <c r="P73" i="2"/>
  <c r="S73" i="2" s="1"/>
  <c r="N75" i="2"/>
  <c r="Q75" i="2" s="1"/>
  <c r="O80" i="2"/>
  <c r="R80" i="2" s="1"/>
  <c r="O96" i="2"/>
  <c r="R96" i="2" s="1"/>
  <c r="O73" i="2"/>
  <c r="R73" i="2" s="1"/>
  <c r="N109" i="2"/>
  <c r="Q109" i="2" s="1"/>
  <c r="O97" i="2"/>
  <c r="R97" i="2" s="1"/>
  <c r="N77" i="2"/>
  <c r="Q77" i="2" s="1"/>
  <c r="O82" i="2"/>
  <c r="R82" i="2" s="1"/>
  <c r="P87" i="2"/>
  <c r="S87" i="2" s="1"/>
  <c r="P80" i="2"/>
  <c r="S80" i="2" s="1"/>
  <c r="O81" i="2"/>
  <c r="R81" i="2" s="1"/>
  <c r="N111" i="2"/>
  <c r="Q111" i="2" s="1"/>
  <c r="N94" i="2"/>
  <c r="Q94" i="2" s="1"/>
  <c r="O110" i="2"/>
  <c r="R110" i="2" s="1"/>
  <c r="N108" i="2"/>
  <c r="Q108" i="2" s="1"/>
  <c r="N95" i="2"/>
  <c r="Q95" i="2" s="1"/>
  <c r="P89" i="2"/>
  <c r="S89" i="2"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P15" i="2"/>
  <c r="S15" i="2" s="1"/>
  <c r="O18" i="2"/>
  <c r="P19" i="2"/>
  <c r="N22" i="2"/>
  <c r="Q22" i="2" s="1"/>
  <c r="O23" i="2"/>
  <c r="R23" i="2" s="1"/>
  <c r="P24" i="2"/>
  <c r="S24" i="2" s="1"/>
  <c r="N26" i="2"/>
  <c r="Q26" i="2" s="1"/>
  <c r="O27" i="2"/>
  <c r="R27" i="2" s="1"/>
  <c r="P28" i="2"/>
  <c r="S28" i="2" s="1"/>
  <c r="K30" i="1" s="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O15" i="2"/>
  <c r="R15" i="2" s="1"/>
  <c r="N19" i="2"/>
  <c r="Q19" i="2" s="1"/>
  <c r="P21" i="2"/>
  <c r="S21" i="2" s="1"/>
  <c r="P23" i="2"/>
  <c r="S23" i="2" s="1"/>
  <c r="O25" i="2"/>
  <c r="R25" i="2" s="1"/>
  <c r="N27" i="2"/>
  <c r="Q27" i="2" s="1"/>
  <c r="N29" i="2"/>
  <c r="Q29" i="2" s="1"/>
  <c r="O30" i="2"/>
  <c r="R30" i="2" s="1"/>
  <c r="P31" i="2"/>
  <c r="S31" i="2" s="1"/>
  <c r="N33" i="2"/>
  <c r="Q33" i="2" s="1"/>
  <c r="O34" i="2"/>
  <c r="R34" i="2" s="1"/>
  <c r="P35" i="2"/>
  <c r="S35" i="2" s="1"/>
  <c r="N37" i="2"/>
  <c r="Q37" i="2" s="1"/>
  <c r="O38" i="2"/>
  <c r="R38" i="2" s="1"/>
  <c r="P39" i="2"/>
  <c r="S39" i="2" s="1"/>
  <c r="N41" i="2"/>
  <c r="Q41" i="2" s="1"/>
  <c r="O42" i="2"/>
  <c r="R42" i="2" s="1"/>
  <c r="P43" i="2"/>
  <c r="S43" i="2" s="1"/>
  <c r="N45" i="2"/>
  <c r="Q45" i="2" s="1"/>
  <c r="O46" i="2"/>
  <c r="R46" i="2" s="1"/>
  <c r="P47" i="2"/>
  <c r="S47" i="2" s="1"/>
  <c r="N49" i="2"/>
  <c r="Q49" i="2" s="1"/>
  <c r="O50" i="2"/>
  <c r="R50" i="2" s="1"/>
  <c r="P51" i="2"/>
  <c r="S51" i="2" s="1"/>
  <c r="N53" i="2"/>
  <c r="Q53" i="2" s="1"/>
  <c r="O54" i="2"/>
  <c r="R54" i="2" s="1"/>
  <c r="P55" i="2"/>
  <c r="S55" i="2" s="1"/>
  <c r="N57" i="2"/>
  <c r="Q57" i="2" s="1"/>
  <c r="O58" i="2"/>
  <c r="R58" i="2" s="1"/>
  <c r="P59" i="2"/>
  <c r="S59" i="2" s="1"/>
  <c r="N61" i="2"/>
  <c r="Q61" i="2" s="1"/>
  <c r="O62" i="2"/>
  <c r="R62" i="2" s="1"/>
  <c r="P63" i="2"/>
  <c r="S63" i="2" s="1"/>
  <c r="N65" i="2"/>
  <c r="Q65" i="2" s="1"/>
  <c r="O66" i="2"/>
  <c r="R66" i="2" s="1"/>
  <c r="P67" i="2"/>
  <c r="S67" i="2" s="1"/>
  <c r="N69" i="2"/>
  <c r="Q69" i="2" s="1"/>
  <c r="O70" i="2"/>
  <c r="R70" i="2" s="1"/>
  <c r="P71" i="2"/>
  <c r="S71" i="2" s="1"/>
  <c r="P16" i="2"/>
  <c r="S16" i="2" s="1"/>
  <c r="P26" i="2"/>
  <c r="S26" i="2" s="1"/>
  <c r="R20" i="7"/>
  <c r="Q25" i="7"/>
  <c r="Q34" i="7"/>
  <c r="T34" i="7" s="1"/>
  <c r="Q43" i="7"/>
  <c r="T43" i="7" s="1"/>
  <c r="P48" i="7"/>
  <c r="S48" i="7" s="1"/>
  <c r="R52" i="7"/>
  <c r="U52" i="7" s="1"/>
  <c r="Q57" i="7"/>
  <c r="T57" i="7" s="1"/>
  <c r="P14" i="7"/>
  <c r="S14" i="7" s="1"/>
  <c r="R15" i="7"/>
  <c r="U15" i="7" s="1"/>
  <c r="N16" i="2"/>
  <c r="Q16" i="2" s="1"/>
  <c r="O19" i="2"/>
  <c r="O22" i="2"/>
  <c r="R22" i="2" s="1"/>
  <c r="N24" i="2"/>
  <c r="Q24" i="2" s="1"/>
  <c r="I26" i="1" s="1"/>
  <c r="P25" i="2"/>
  <c r="S25" i="2" s="1"/>
  <c r="P27" i="2"/>
  <c r="S27" i="2" s="1"/>
  <c r="O29" i="2"/>
  <c r="R29" i="2" s="1"/>
  <c r="P30" i="2"/>
  <c r="S30" i="2" s="1"/>
  <c r="N32" i="2"/>
  <c r="Q32" i="2" s="1"/>
  <c r="O33" i="2"/>
  <c r="R33" i="2" s="1"/>
  <c r="P34" i="2"/>
  <c r="S34" i="2" s="1"/>
  <c r="N36" i="2"/>
  <c r="Q36" i="2" s="1"/>
  <c r="O37" i="2"/>
  <c r="R37" i="2" s="1"/>
  <c r="P38" i="2"/>
  <c r="S38" i="2" s="1"/>
  <c r="N40" i="2"/>
  <c r="Q40" i="2" s="1"/>
  <c r="O41" i="2"/>
  <c r="R41" i="2" s="1"/>
  <c r="P42" i="2"/>
  <c r="S42" i="2" s="1"/>
  <c r="N44" i="2"/>
  <c r="Q44" i="2" s="1"/>
  <c r="O45" i="2"/>
  <c r="R45" i="2" s="1"/>
  <c r="P46" i="2"/>
  <c r="S46" i="2" s="1"/>
  <c r="N48" i="2"/>
  <c r="Q48" i="2" s="1"/>
  <c r="O49" i="2"/>
  <c r="R49" i="2" s="1"/>
  <c r="P50" i="2"/>
  <c r="S50" i="2" s="1"/>
  <c r="N52" i="2"/>
  <c r="Q52" i="2" s="1"/>
  <c r="O53" i="2"/>
  <c r="R53" i="2" s="1"/>
  <c r="P54" i="2"/>
  <c r="S54" i="2" s="1"/>
  <c r="N56" i="2"/>
  <c r="Q56" i="2" s="1"/>
  <c r="O57" i="2"/>
  <c r="R57" i="2" s="1"/>
  <c r="P58" i="2"/>
  <c r="S58" i="2" s="1"/>
  <c r="N60" i="2"/>
  <c r="Q60" i="2" s="1"/>
  <c r="O61" i="2"/>
  <c r="R61" i="2" s="1"/>
  <c r="P62" i="2"/>
  <c r="S62" i="2" s="1"/>
  <c r="N64" i="2"/>
  <c r="Q64" i="2" s="1"/>
  <c r="O65" i="2"/>
  <c r="R65" i="2" s="1"/>
  <c r="P66" i="2"/>
  <c r="S66" i="2" s="1"/>
  <c r="N68" i="2"/>
  <c r="Q68" i="2" s="1"/>
  <c r="O69" i="2"/>
  <c r="R69" i="2" s="1"/>
  <c r="P70" i="2"/>
  <c r="S70" i="2" s="1"/>
  <c r="N72" i="2"/>
  <c r="Q72" i="2" s="1"/>
  <c r="P17" i="7"/>
  <c r="S17" i="7" s="1"/>
  <c r="P18" i="2"/>
  <c r="N25" i="2"/>
  <c r="Q25" i="2" s="1"/>
  <c r="Q26" i="7"/>
  <c r="T26" i="7" s="1"/>
  <c r="Q35" i="7"/>
  <c r="T35" i="7" s="1"/>
  <c r="P40" i="7"/>
  <c r="S40" i="7" s="1"/>
  <c r="R44" i="7"/>
  <c r="U44" i="7" s="1"/>
  <c r="Q49" i="7"/>
  <c r="T49" i="7" s="1"/>
  <c r="Q58" i="7"/>
  <c r="T58" i="7" s="1"/>
  <c r="Q14" i="7"/>
  <c r="T14" i="7" s="1"/>
  <c r="O16" i="2"/>
  <c r="R16" i="2" s="1"/>
  <c r="N18" i="2"/>
  <c r="Q18" i="2" s="1"/>
  <c r="N21" i="2"/>
  <c r="Q21" i="2" s="1"/>
  <c r="P22" i="2"/>
  <c r="S22" i="2" s="1"/>
  <c r="O24" i="2"/>
  <c r="R24" i="2" s="1"/>
  <c r="O26" i="2"/>
  <c r="R26" i="2" s="1"/>
  <c r="N28" i="2"/>
  <c r="Q28" i="2" s="1"/>
  <c r="I30" i="1" s="1"/>
  <c r="P29" i="2"/>
  <c r="S29" i="2" s="1"/>
  <c r="N31" i="2"/>
  <c r="Q31" i="2" s="1"/>
  <c r="O32" i="2"/>
  <c r="R32" i="2" s="1"/>
  <c r="P33" i="2"/>
  <c r="S33" i="2" s="1"/>
  <c r="N35" i="2"/>
  <c r="Q35" i="2" s="1"/>
  <c r="O36" i="2"/>
  <c r="R36" i="2" s="1"/>
  <c r="P37" i="2"/>
  <c r="S37" i="2" s="1"/>
  <c r="N39" i="2"/>
  <c r="Q39" i="2" s="1"/>
  <c r="O40" i="2"/>
  <c r="R40" i="2" s="1"/>
  <c r="P41" i="2"/>
  <c r="S41" i="2" s="1"/>
  <c r="N43" i="2"/>
  <c r="Q43" i="2" s="1"/>
  <c r="O44" i="2"/>
  <c r="R44" i="2" s="1"/>
  <c r="P45" i="2"/>
  <c r="S45" i="2" s="1"/>
  <c r="N47" i="2"/>
  <c r="Q47" i="2" s="1"/>
  <c r="O48" i="2"/>
  <c r="R48" i="2" s="1"/>
  <c r="P49" i="2"/>
  <c r="S49" i="2" s="1"/>
  <c r="N51" i="2"/>
  <c r="Q51" i="2" s="1"/>
  <c r="O52" i="2"/>
  <c r="R52" i="2" s="1"/>
  <c r="P53" i="2"/>
  <c r="S53" i="2" s="1"/>
  <c r="N55" i="2"/>
  <c r="Q55" i="2" s="1"/>
  <c r="O56" i="2"/>
  <c r="R56" i="2" s="1"/>
  <c r="P57" i="2"/>
  <c r="S57" i="2" s="1"/>
  <c r="N59" i="2"/>
  <c r="Q59" i="2" s="1"/>
  <c r="O60" i="2"/>
  <c r="R60" i="2" s="1"/>
  <c r="P61" i="2"/>
  <c r="S61" i="2" s="1"/>
  <c r="N63" i="2"/>
  <c r="Q63" i="2" s="1"/>
  <c r="O64" i="2"/>
  <c r="R64" i="2" s="1"/>
  <c r="P65" i="2"/>
  <c r="S65" i="2" s="1"/>
  <c r="N67" i="2"/>
  <c r="Q67" i="2" s="1"/>
  <c r="O68" i="2"/>
  <c r="R68" i="2" s="1"/>
  <c r="P69" i="2"/>
  <c r="S69" i="2" s="1"/>
  <c r="N71" i="2"/>
  <c r="Q71" i="2" s="1"/>
  <c r="O72" i="2"/>
  <c r="R72" i="2" s="1"/>
  <c r="Q27" i="7"/>
  <c r="T27" i="7" s="1"/>
  <c r="P32" i="7"/>
  <c r="S32" i="7" s="1"/>
  <c r="R36" i="7"/>
  <c r="U36" i="7" s="1"/>
  <c r="Q41" i="7"/>
  <c r="T41" i="7" s="1"/>
  <c r="Q50" i="7"/>
  <c r="T50" i="7" s="1"/>
  <c r="Q59" i="7"/>
  <c r="T59" i="7" s="1"/>
  <c r="R18" i="7"/>
  <c r="U18" i="7" s="1"/>
  <c r="N15" i="2"/>
  <c r="Q15" i="2" s="1"/>
  <c r="O21" i="2"/>
  <c r="R21" i="2" s="1"/>
  <c r="J23" i="1" s="1"/>
  <c r="N23" i="2"/>
  <c r="Q23" i="2" s="1"/>
  <c r="I25" i="1" s="1"/>
  <c r="O28" i="2"/>
  <c r="R28" i="2" s="1"/>
  <c r="J30" i="1" s="1"/>
  <c r="N34" i="2"/>
  <c r="Q34" i="2" s="1"/>
  <c r="P44" i="2"/>
  <c r="S44" i="2" s="1"/>
  <c r="O55" i="2"/>
  <c r="R55" i="2" s="1"/>
  <c r="O71" i="2"/>
  <c r="R71" i="2" s="1"/>
  <c r="O67" i="2"/>
  <c r="R67" i="2" s="1"/>
  <c r="O31" i="2"/>
  <c r="R31" i="2" s="1"/>
  <c r="P52" i="2"/>
  <c r="S52" i="2" s="1"/>
  <c r="N30" i="2"/>
  <c r="Q30" i="2" s="1"/>
  <c r="I29" i="1" s="1"/>
  <c r="O35" i="2"/>
  <c r="R35" i="2" s="1"/>
  <c r="P40" i="2"/>
  <c r="S40" i="2" s="1"/>
  <c r="N46" i="2"/>
  <c r="Q46" i="2" s="1"/>
  <c r="O51" i="2"/>
  <c r="R51" i="2" s="1"/>
  <c r="N62" i="2"/>
  <c r="Q62" i="2" s="1"/>
  <c r="N42" i="2"/>
  <c r="Q42" i="2" s="1"/>
  <c r="N58" i="2"/>
  <c r="Q58" i="2" s="1"/>
  <c r="P68" i="2"/>
  <c r="S68" i="2" s="1"/>
  <c r="P32" i="2"/>
  <c r="S32" i="2" s="1"/>
  <c r="N38" i="2"/>
  <c r="Q38" i="2" s="1"/>
  <c r="O43" i="2"/>
  <c r="R43" i="2" s="1"/>
  <c r="P48" i="2"/>
  <c r="S48" i="2" s="1"/>
  <c r="N54" i="2"/>
  <c r="Q54" i="2" s="1"/>
  <c r="O59" i="2"/>
  <c r="R59" i="2" s="1"/>
  <c r="P64" i="2"/>
  <c r="S64" i="2" s="1"/>
  <c r="N70" i="2"/>
  <c r="Q70" i="2" s="1"/>
  <c r="O39" i="2"/>
  <c r="R39" i="2" s="1"/>
  <c r="N50" i="2"/>
  <c r="Q50" i="2" s="1"/>
  <c r="P60" i="2"/>
  <c r="S60" i="2" s="1"/>
  <c r="N66" i="2"/>
  <c r="Q66" i="2" s="1"/>
  <c r="P56" i="2"/>
  <c r="S56" i="2" s="1"/>
  <c r="P72" i="2"/>
  <c r="S72" i="2" s="1"/>
  <c r="P36" i="2"/>
  <c r="S36" i="2" s="1"/>
  <c r="O47" i="2"/>
  <c r="R47" i="2" s="1"/>
  <c r="O63" i="2"/>
  <c r="R63" i="2" s="1"/>
  <c r="R14" i="7"/>
  <c r="U14" i="7" s="1"/>
  <c r="N14" i="2"/>
  <c r="Q14" i="2" s="1"/>
  <c r="O14" i="2"/>
  <c r="R14" i="2" s="1"/>
  <c r="P14" i="2"/>
  <c r="S14" i="2" s="1"/>
  <c r="P12" i="7"/>
  <c r="S12" i="7" s="1"/>
  <c r="O17" i="2"/>
  <c r="P17" i="2"/>
  <c r="K19" i="10" l="1"/>
  <c r="U20" i="7"/>
  <c r="J25" i="10"/>
  <c r="T23" i="7"/>
  <c r="J26" i="10"/>
  <c r="T24" i="7"/>
  <c r="I21" i="10"/>
  <c r="S25" i="7"/>
  <c r="J19" i="10"/>
  <c r="T20" i="7"/>
  <c r="I25" i="10"/>
  <c r="S23" i="7"/>
  <c r="I26" i="10"/>
  <c r="S24" i="7"/>
  <c r="K25" i="10"/>
  <c r="U23" i="7"/>
  <c r="J21" i="10"/>
  <c r="T25" i="7"/>
  <c r="K26" i="10"/>
  <c r="U24" i="7"/>
  <c r="I19" i="10"/>
  <c r="S20" i="7"/>
  <c r="V20" i="7" s="1"/>
  <c r="K21" i="10"/>
  <c r="U25" i="7"/>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Q17" i="2" s="1"/>
  <c r="I18" i="1" s="1"/>
  <c r="I23" i="1"/>
  <c r="I21" i="1"/>
  <c r="J20" i="10"/>
  <c r="K20" i="10"/>
  <c r="I20" i="10"/>
  <c r="K29" i="1"/>
  <c r="J28" i="1"/>
  <c r="K28" i="1"/>
  <c r="J27" i="1"/>
  <c r="J24" i="1"/>
  <c r="K27" i="1"/>
  <c r="K24" i="1"/>
  <c r="I27" i="1"/>
  <c r="I24" i="1"/>
  <c r="I19" i="1"/>
  <c r="T42" i="2"/>
  <c r="T62" i="2"/>
  <c r="P13" i="7"/>
  <c r="P19" i="7"/>
  <c r="S19" i="7" s="1"/>
  <c r="P16" i="7"/>
  <c r="Q13" i="7"/>
  <c r="T13" i="7" s="1"/>
  <c r="R13" i="7"/>
  <c r="U13" i="7" s="1"/>
  <c r="Q19" i="7"/>
  <c r="R19" i="7"/>
  <c r="R16" i="7"/>
  <c r="Q16" i="7"/>
  <c r="T38" i="2"/>
  <c r="T30" i="2"/>
  <c r="T46" i="2"/>
  <c r="T23" i="2"/>
  <c r="T54" i="2"/>
  <c r="T70" i="2"/>
  <c r="T67" i="2"/>
  <c r="T35" i="2"/>
  <c r="T15" i="2"/>
  <c r="T51" i="2"/>
  <c r="T50" i="2"/>
  <c r="V40" i="7"/>
  <c r="V48" i="7"/>
  <c r="T64" i="2"/>
  <c r="T48" i="2"/>
  <c r="T32" i="2"/>
  <c r="T16" i="2"/>
  <c r="T14" i="2"/>
  <c r="R17" i="2"/>
  <c r="J19" i="1" s="1"/>
  <c r="T45" i="2"/>
  <c r="T66" i="2"/>
  <c r="T59" i="2"/>
  <c r="T43" i="2"/>
  <c r="T25" i="2"/>
  <c r="T72" i="2"/>
  <c r="T56" i="2"/>
  <c r="T40" i="2"/>
  <c r="T69" i="2"/>
  <c r="T53" i="2"/>
  <c r="T37" i="2"/>
  <c r="T22" i="2"/>
  <c r="S17" i="2"/>
  <c r="K19" i="1" s="1"/>
  <c r="T58" i="2"/>
  <c r="T63" i="2"/>
  <c r="T47" i="2"/>
  <c r="T31" i="2"/>
  <c r="S18" i="2"/>
  <c r="T60" i="2"/>
  <c r="T44" i="2"/>
  <c r="R19" i="2"/>
  <c r="J21" i="1" s="1"/>
  <c r="T57" i="2"/>
  <c r="T41" i="2"/>
  <c r="T26" i="2"/>
  <c r="S19" i="2"/>
  <c r="K21" i="1" s="1"/>
  <c r="T61" i="2"/>
  <c r="T29" i="2"/>
  <c r="R18" i="2"/>
  <c r="T34" i="2"/>
  <c r="T71" i="2"/>
  <c r="T55" i="2"/>
  <c r="T39" i="2"/>
  <c r="T28" i="2"/>
  <c r="T21" i="2"/>
  <c r="T68" i="2"/>
  <c r="T52" i="2"/>
  <c r="T36" i="2"/>
  <c r="T24" i="2"/>
  <c r="T65" i="2"/>
  <c r="T49" i="2"/>
  <c r="T33" i="2"/>
  <c r="T27" i="2"/>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P20" i="2"/>
  <c r="S20" i="2" s="1"/>
  <c r="K22" i="1" s="1"/>
  <c r="P12" i="2"/>
  <c r="S12" i="2" s="1"/>
  <c r="O13" i="2"/>
  <c r="R13" i="2" s="1"/>
  <c r="O20" i="2"/>
  <c r="R20" i="2" s="1"/>
  <c r="J22" i="1" s="1"/>
  <c r="O12" i="2"/>
  <c r="R12" i="2" s="1"/>
  <c r="N13" i="2"/>
  <c r="Q13" i="2" s="1"/>
  <c r="I17" i="1" s="1"/>
  <c r="N20" i="2"/>
  <c r="Q20" i="2" s="1"/>
  <c r="I22" i="1" s="1"/>
  <c r="N12" i="2"/>
  <c r="Q12" i="2" s="1"/>
  <c r="L23" i="1" l="1"/>
  <c r="K18" i="1"/>
  <c r="J18" i="1"/>
  <c r="L19" i="10"/>
  <c r="L25" i="10"/>
  <c r="V25" i="7"/>
  <c r="V24" i="7"/>
  <c r="L21" i="10"/>
  <c r="L26" i="10"/>
  <c r="K18" i="10"/>
  <c r="U16" i="7"/>
  <c r="K17" i="10"/>
  <c r="U19" i="7"/>
  <c r="I18" i="10"/>
  <c r="S16" i="7"/>
  <c r="T12" i="7"/>
  <c r="V12" i="7" s="1"/>
  <c r="J17" i="10"/>
  <c r="T19" i="7"/>
  <c r="J18" i="10"/>
  <c r="T16" i="7"/>
  <c r="I16" i="10"/>
  <c r="S13" i="7"/>
  <c r="V13" i="7" s="1"/>
  <c r="L26" i="1"/>
  <c r="L29" i="1"/>
  <c r="L25" i="1"/>
  <c r="L20" i="10"/>
  <c r="J20" i="1"/>
  <c r="I20" i="1"/>
  <c r="K17" i="1"/>
  <c r="J17" i="1"/>
  <c r="L28" i="1"/>
  <c r="K20" i="1"/>
  <c r="L27" i="1"/>
  <c r="L24" i="1"/>
  <c r="L22" i="1"/>
  <c r="K16" i="10"/>
  <c r="J16" i="1"/>
  <c r="I17" i="10"/>
  <c r="K16" i="1"/>
  <c r="I16" i="1"/>
  <c r="L30" i="1"/>
  <c r="T19" i="2"/>
  <c r="T18" i="2"/>
  <c r="T13" i="2"/>
  <c r="T20" i="2"/>
  <c r="T17" i="2"/>
  <c r="T12" i="2"/>
  <c r="L21" i="1"/>
  <c r="L18" i="1" l="1"/>
  <c r="T10" i="2"/>
  <c r="L18" i="10"/>
  <c r="L17" i="10"/>
  <c r="V19" i="7"/>
  <c r="J16" i="10"/>
  <c r="L16" i="10" s="1"/>
  <c r="V16" i="7"/>
  <c r="L17" i="1"/>
  <c r="L19" i="1"/>
  <c r="L20" i="1"/>
  <c r="L16" i="1"/>
  <c r="V10" i="7" l="1"/>
  <c r="K33" i="10"/>
  <c r="K33" i="1"/>
</calcChain>
</file>

<file path=xl/sharedStrings.xml><?xml version="1.0" encoding="utf-8"?>
<sst xmlns="http://schemas.openxmlformats.org/spreadsheetml/2006/main" count="722" uniqueCount="305">
  <si>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</si>
  <si>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</si>
  <si>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</si>
  <si>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</si>
  <si>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</si>
  <si>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</si>
  <si>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</si>
  <si>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</si>
  <si>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</si>
  <si>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</si>
  <si>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</si>
  <si>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</si>
  <si>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</si>
  <si>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</si>
  <si>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</si>
  <si>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</si>
  <si>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</si>
  <si>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</si>
  <si>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</si>
  <si>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</si>
  <si>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</si>
  <si>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</si>
  <si>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</si>
  <si>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</si>
  <si>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</si>
  <si>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</si>
  <si>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</si>
  <si>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</si>
  <si>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</si>
  <si>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</si>
  <si>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</si>
  <si>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</si>
  <si>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</si>
  <si>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</si>
  <si>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</si>
  <si>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</si>
  <si>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</si>
  <si>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</si>
  <si>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</si>
  <si>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</si>
  <si>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</si>
  <si>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</si>
  <si>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</si>
  <si>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</si>
  <si>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</si>
  <si>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</si>
  <si>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</si>
  <si>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</si>
  <si>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</si>
  <si>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</si>
  <si>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</si>
  <si>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</si>
  <si>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</si>
  <si>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</si>
  <si>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</si>
  <si>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</si>
  <si>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</si>
  <si>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</si>
  <si>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</si>
  <si>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</si>
  <si>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</si>
  <si>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</si>
  <si>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</si>
  <si>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</si>
  <si>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</si>
  <si>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</si>
  <si>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</si>
  <si>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</si>
  <si>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</si>
  <si>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</si>
  <si>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</si>
  <si>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</si>
  <si>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</si>
  <si>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</si>
  <si>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</si>
  <si>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</si>
  <si>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</si>
  <si>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</si>
  <si>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</si>
  <si>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</si>
  <si>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</si>
  <si>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</si>
  <si>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</si>
  <si>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</si>
  <si>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</si>
  <si>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</si>
  <si>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</si>
  <si>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</si>
  <si>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</si>
  <si>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</si>
  <si>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</si>
  <si>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</si>
  <si>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</si>
  <si>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</si>
  <si>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</si>
  <si>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</si>
  <si>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</si>
  <si>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</si>
  <si>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</si>
  <si>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</si>
  <si>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</si>
  <si>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</si>
  <si>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</si>
  <si>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</si>
  <si>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</si>
  <si>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</si>
  <si>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</si>
  <si>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</si>
  <si>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</si>
  <si>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</si>
  <si>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</si>
  <si>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</si>
  <si>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</si>
  <si>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</si>
  <si>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</si>
  <si>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</si>
  <si>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</si>
  <si>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</si>
  <si>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</si>
  <si>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</si>
  <si>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</si>
  <si>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</si>
  <si>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</si>
  <si>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</si>
  <si>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</si>
  <si>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</si>
  <si>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</si>
  <si>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</si>
  <si>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</si>
  <si>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</si>
  <si>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</si>
  <si>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</si>
  <si>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</si>
  <si>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</si>
  <si>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</si>
  <si>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</si>
  <si>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</si>
  <si>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Leistungserbringung am Wohnsitz im Kanton Solothurn</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</si>
  <si>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</si>
  <si>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</si>
  <si>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</si>
  <si>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</si>
  <si>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</si>
  <si>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</si>
  <si>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</si>
  <si>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</si>
  <si>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</si>
  <si>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</si>
  <si>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</si>
  <si>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</si>
  <si>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</si>
  <si>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</si>
  <si>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</si>
  <si>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</si>
  <si>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</si>
  <si>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</si>
  <si>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</si>
  <si>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</si>
  <si>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</si>
  <si>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</si>
  <si>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</si>
  <si>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</si>
  <si>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</si>
  <si>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</si>
  <si>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</si>
  <si>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</si>
  <si>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</si>
  <si>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</si>
  <si>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</si>
  <si>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</si>
  <si>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</si>
  <si>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</si>
  <si>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</si>
  <si>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</si>
  <si>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</si>
  <si>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</si>
  <si>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</si>
  <si>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</si>
  <si>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</si>
  <si>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</si>
  <si>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</si>
  <si>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</si>
  <si>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</si>
  <si>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</si>
  <si>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</si>
  <si>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</si>
  <si>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</si>
  <si>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</si>
  <si>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</si>
  <si>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</si>
  <si>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</si>
  <si>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</si>
  <si>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</si>
  <si>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</si>
  <si>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</si>
  <si>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</si>
  <si>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</si>
  <si>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</si>
  <si>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</si>
  <si>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</si>
  <si>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</si>
  <si>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</si>
  <si>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</si>
  <si>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</si>
  <si>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</si>
  <si>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</si>
  <si>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</si>
  <si>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</si>
  <si>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</si>
  <si>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</si>
  <si>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</si>
  <si>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</si>
  <si>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</si>
  <si>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</si>
  <si>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</si>
  <si>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</si>
  <si>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</si>
  <si>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</si>
  <si>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</si>
  <si>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</si>
  <si>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</si>
  <si>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</si>
  <si>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</si>
  <si>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</si>
  <si>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</si>
  <si>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</si>
  <si>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</si>
  <si>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</si>
  <si>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</si>
  <si>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</si>
  <si>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</si>
  <si>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</si>
  <si>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</si>
  <si>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</si>
  <si>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</si>
  <si>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</si>
  <si>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</si>
  <si>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</si>
  <si>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</si>
  <si>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</si>
  <si>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</si>
  <si>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</si>
  <si>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</si>
  <si>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</si>
  <si>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</si>
  <si>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</si>
  <si>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</si>
  <si>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</si>
  <si>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</si>
  <si>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</si>
  <si>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</si>
  <si>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</si>
  <si>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</si>
  <si>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</si>
  <si>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</si>
  <si>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</si>
  <si>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</si>
  <si>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</si>
  <si>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</si>
  <si>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</si>
  <si>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</si>
  <si>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</si>
  <si>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</si>
  <si>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</si>
  <si>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</si>
  <si>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</si>
  <si>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</si>
  <si>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</si>
  <si>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</si>
  <si>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</si>
  <si>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</si>
  <si>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</si>
  <si>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</si>
  <si>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</si>
  <si>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</si>
  <si>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</si>
  <si>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</si>
  <si>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</si>
  <si>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</si>
  <si>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</si>
  <si>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</si>
  <si>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</si>
  <si>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</si>
  <si>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</si>
  <si>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</si>
  <si>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</si>
  <si>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</si>
  <si>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</si>
  <si>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</si>
  <si>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</si>
  <si>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</si>
  <si>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</si>
  <si>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</si>
  <si>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</si>
  <si>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</si>
  <si>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</si>
  <si>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</si>
  <si>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</si>
  <si>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</si>
  <si>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Grundversorgungsauftrag</t>
  </si>
  <si>
    <t>Leistungserbringung am Wohnsitz des Patienten im Kanton Solothurn</t>
  </si>
  <si>
    <t>Steinhof SO</t>
  </si>
  <si>
    <t>Brunnenthal</t>
  </si>
  <si>
    <t>Lüsslingen-Nennigkofen</t>
  </si>
  <si>
    <t>Leistungserbringung nicht am Wohnsitz des Patienten, Aufenthaltsort im Kanton Solothurn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</si>
</sst>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4"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s>
  <fills count="1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41">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 fillId="13"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0" fontId="28" fillId="0" borderId="41"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1" fillId="0" borderId="42" xfId="1" applyFont="1" applyBorder="1" applyProtection="1"/>
    <xf numFmtId="43" fontId="1" fillId="0" borderId="31" xfId="1" applyFont="1" applyBorder="1" applyProtection="1"/>
    <xf numFmtId="43" fontId="1" fillId="0" borderId="43"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1" fillId="0" borderId="44" xfId="0" applyFont="1" applyBorder="1"/>
    <xf numFmtId="0" fontId="1" fillId="13" borderId="44" xfId="0" applyFont="1" applyFill="1" applyBorder="1"/>
    <xf numFmtId="0" fontId="1" fillId="13" borderId="45"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14" fontId="8" fillId="7" borderId="21" xfId="2" applyNumberFormat="1" applyFont="1" applyFill="1" applyBorder="1" applyAlignment="1" applyProtection="1">
      <alignment horizontal="left" vertical="center"/>
      <protection locked="0"/>
    </xf>
    <xf numFmtId="0" fontId="8" fillId="7" borderId="21" xfId="2" applyFont="1" applyFill="1" applyBorder="1" applyAlignment="1" applyProtection="1">
      <alignment horizontal="left" vertical="center"/>
      <protection locked="0"/>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14" fillId="13" borderId="0" xfId="0" applyNumberFormat="1" applyFont="1" applyFill="1" applyAlignment="1" applyProtection="1"/>
    <xf numFmtId="0" fontId="24" fillId="0" borderId="0" xfId="6" applyFont="1" applyFill="1" applyAlignment="1" applyProtection="1">
      <alignment horizontal="left" wrapText="1"/>
    </xf>
    <xf numFmtId="49" fontId="14" fillId="13" borderId="0" xfId="0" applyNumberFormat="1" applyFont="1" applyFill="1" applyAlignment="1" applyProtection="1">
      <alignment horizontal="left"/>
    </xf>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11" fillId="0" borderId="21" xfId="2" applyFont="1" applyBorder="1" applyAlignment="1">
      <alignment horizontal="left" vertical="center"/>
    </xf>
    <xf numFmtId="0" fontId="2" fillId="0" borderId="0" xfId="0" applyFont="1" applyAlignment="1">
      <alignment horizontal="left" wrapText="1"/>
    </xf>
    <xf numFmtId="0" fontId="10" fillId="0" borderId="21" xfId="2" applyFont="1" applyBorder="1" applyAlignment="1">
      <alignment horizontal="left" vertical="center"/>
    </xf>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49" fontId="14" fillId="7" borderId="0" xfId="0" applyNumberFormat="1" applyFont="1" applyFill="1" applyAlignment="1" applyProtection="1">
      <alignment horizontal="center"/>
      <protection locked="0"/>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8" fillId="7" borderId="21" xfId="2" applyFont="1" applyFill="1" applyBorder="1" applyAlignment="1" applyProtection="1">
      <alignment horizontal="left" vertical="center"/>
      <protection locked="0"/>
    </xf>
    <xf numFmtId="0" fontId="8" fillId="7" borderId="31" xfId="2" applyFont="1" applyFill="1" applyBorder="1" applyAlignment="1" applyProtection="1">
      <alignment horizontal="left" vertical="center"/>
      <protection locked="0"/>
    </xf>
    <xf numFmtId="0" fontId="8" fillId="7" borderId="33" xfId="2" applyFont="1" applyFill="1" applyBorder="1" applyAlignment="1" applyProtection="1">
      <alignment horizontal="left" vertical="center"/>
      <protection locked="0"/>
    </xf>
    <xf numFmtId="0" fontId="1" fillId="0" borderId="0" xfId="0" applyFont="1" applyAlignment="1">
      <alignment horizontal="left" wrapText="1"/>
    </xf>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1" dataDxfId="80">
  <autoFilter ref="A11:W111"/>
  <tableColumns count="23">
    <tableColumn id="21" name="Nr." dataDxfId="79"/>
    <tableColumn id="1" name="AHV-Nr" dataDxfId="78"/>
    <tableColumn id="2" name="Name" dataDxfId="77"/>
    <tableColumn id="3" name="Vorname" dataDxfId="76"/>
    <tableColumn id="4" name="geb.Dat." dataDxfId="75"/>
    <tableColumn id="5" name="Strasse Nr." dataDxfId="74"/>
    <tableColumn id="6" name="PLZ" dataDxfId="73"/>
    <tableColumn id="7" name="Ort_Wohnsitz" dataDxfId="72"/>
    <tableColumn id="8" name="Anzahl Pflegetage" dataDxfId="71"/>
    <tableColumn id="9" name="KLV A" dataDxfId="70"/>
    <tableColumn id="10" name="KLV B" dataDxfId="69"/>
    <tableColumn id="11" name="KLV C" dataDxfId="68"/>
    <tableColumn id="12" name="Total_x000a_ Pflegezeit" dataDxfId="67">
      <calculatedColumnFormula>SUM(tbl_WohnsitzSO[[#This Row],[KLV A]:[KLV C]])</calculatedColumnFormula>
    </tableColumn>
    <tableColumn id="13" name="KLV A Ansatz" dataDxfId="66" dataCellStyle="Komma">
      <calculatedColumnFormula>IFERROR(IF(IFERROR(MATCH($C$4&amp;$H12,Tabelle2[Codierung],0),0)&gt;0,VLOOKUP(H12,Tabelle1[[Ort]:[RK KLV C üD]],2,),VLOOKUP(H12,Tabelle1[[Ort]:[RK KLV C üD]],5)),"")</calculatedColumnFormula>
    </tableColumn>
    <tableColumn id="14" name="KLV B Ansatz" dataDxfId="65" dataCellStyle="Komma">
      <calculatedColumnFormula>IFERROR(IF(IFERROR(MATCH($C$4&amp;$H12,Tabelle2[Codierung],0),0)&gt;0,VLOOKUP(H12,Tabelle1[[Ort]:[RK KLV C üD]],3,),VLOOKUP(H12,Tabelle1[[Ort]:[RK KLV C üD]],6)),"")</calculatedColumnFormula>
    </tableColumn>
    <tableColumn id="15" name="KLV C Ansatz" dataDxfId="64" dataCellStyle="Komma">
      <calculatedColumnFormula>IFERROR(IF(IFERROR(MATCH($C$4&amp;$H12,Tabelle2[Codierung],0),0)&gt;0,VLOOKUP(H12,Tabelle1[[Ort]:[RK KLV C üD]],4,),VLOOKUP(H12,Tabelle1[[Ort]:[RK KLV C üD]],7)),"")</calculatedColumnFormula>
    </tableColumn>
    <tableColumn id="16" name="KLV A Kosten" dataDxfId="63" dataCellStyle="Komma">
      <calculatedColumnFormula>IFERROR(tbl_WohnsitzSO[[#This Row],[KLV A]]*tbl_WohnsitzSO[[#This Row],[KLV A Ansatz]]/60,"")</calculatedColumnFormula>
    </tableColumn>
    <tableColumn id="17" name="KLV B Kosten" dataDxfId="62" dataCellStyle="Komma">
      <calculatedColumnFormula>IFERROR(tbl_WohnsitzSO[[#This Row],[KLV B]]*tbl_WohnsitzSO[[#This Row],[KLV B Ansatz]]/60,"")</calculatedColumnFormula>
    </tableColumn>
    <tableColumn id="18" name="KLV C Kosten" dataDxfId="61" dataCellStyle="Komma">
      <calculatedColumnFormula>IFERROR(tbl_WohnsitzSO[[#This Row],[KLV C]]*tbl_WohnsitzSO[[#This Row],[KLV C Ansatz]]/60,"")</calculatedColumnFormula>
    </tableColumn>
    <tableColumn id="19" name="Total" dataDxfId="60" dataCellStyle="Komma">
      <calculatedColumnFormula>IFERROR(SUM(tbl_WohnsitzSO[[#This Row],[KLV A Kosten]:[KLV C Kosten]]),"")</calculatedColumnFormula>
    </tableColumn>
    <tableColumn id="20" name="Vorkommen" dataDxfId="59">
      <calculatedColumnFormula>COUNTIF($H$12:$H12,H12)</calculatedColumnFormula>
    </tableColumn>
    <tableColumn id="22" name="Patienten Beteiligung" dataDxfId="58" dataCellStyle="Komma"/>
    <tableColumn id="23" name="Mittel und Gegenstände (max. MiGeL) Einstandspreise" dataDxfId="57"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Ansatz]]/60,"")</calculatedColumnFormula>
    </tableColumn>
    <tableColumn id="20" name="KLV B Kosten" dataDxfId="26">
      <calculatedColumnFormula>IFERROR(tbl_Ferienaufenthalt_SO[[#This Row],[KLV B]]*tbl_Ferienaufenthalt_SO[[#This Row],[KLV B Ansatz]]/60,"")</calculatedColumnFormula>
    </tableColumn>
    <tableColumn id="21" name="KLV C Kosten" dataDxfId="25">
      <calculatedColumnFormula>IFERROR(tbl_Ferienaufenthalt_SO[[#This Row],[KLV C]]*tbl_Ferienaufenthalt_SO[[#This Row],[KLV C Ansatz]]/60,"")</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15" dataDxfId="14">
  <autoFilter ref="A1:I134"/>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view="pageBreakPreview" zoomScaleNormal="100" zoomScaleSheetLayoutView="100" zoomScalePageLayoutView="55" workbookViewId="0">
      <selection activeCell="C4" sqref="C4:D4"/>
    </sheetView>
  </sheetViews>
  <sheetFormatPr baseColWidth="10" defaultRowHeight="12.75" x14ac:dyDescent="0.2"/>
  <cols>
    <col min="1" max="1" width="4.5" style="92" customWidth="1"/>
    <col min="2" max="2" width="15.5" style="92" customWidth="1"/>
    <col min="3" max="3" width="20.5" style="92" customWidth="1"/>
    <col min="4" max="4" width="14.875" style="92" customWidth="1"/>
    <col min="5" max="5" width="11.5" style="92" customWidth="1"/>
    <col min="6" max="6" width="16.125" style="92" customWidth="1"/>
    <col min="7" max="7" width="5.375" style="92" customWidth="1"/>
    <col min="8" max="8" width="13.375" style="92" customWidth="1"/>
    <col min="9" max="12" width="6" style="92" customWidth="1"/>
    <col min="13" max="13" width="7" style="92" customWidth="1"/>
    <col min="14" max="16" width="7.125" style="92" customWidth="1"/>
    <col min="17" max="20" width="9.125" style="92" customWidth="1"/>
    <col min="21" max="21" width="2.875" style="92" hidden="1" customWidth="1"/>
    <col min="22" max="22" width="7.375" style="92" customWidth="1"/>
    <col min="23" max="23" width="9.25" style="92" customWidth="1"/>
    <col min="24" max="16384" width="11" style="92"/>
  </cols>
  <sheetData>
    <row r="1" spans="1:27" ht="20.25" customHeight="1" x14ac:dyDescent="0.3">
      <c r="A1" s="89" t="s">
        <v>300</v>
      </c>
      <c r="B1" s="90"/>
      <c r="C1" s="91"/>
      <c r="D1" s="91"/>
      <c r="E1" s="91"/>
      <c r="F1" s="91"/>
      <c r="H1" s="93">
        <v>2020</v>
      </c>
    </row>
    <row r="3" spans="1:27" ht="21" thickBot="1" x14ac:dyDescent="0.35">
      <c r="A3" s="93" t="s">
        <v>0</v>
      </c>
      <c r="C3" s="94"/>
      <c r="D3" s="94"/>
      <c r="E3" s="94"/>
      <c r="J3" s="95" t="s">
        <v>145</v>
      </c>
      <c r="Y3" s="96"/>
      <c r="Z3" s="96"/>
      <c r="AA3" s="96"/>
    </row>
    <row r="4" spans="1:27" ht="16.5" thickBot="1" x14ac:dyDescent="0.3">
      <c r="A4" s="97" t="s">
        <v>1</v>
      </c>
      <c r="C4" s="276"/>
      <c r="D4" s="276"/>
      <c r="E4" s="97" t="s">
        <v>4</v>
      </c>
      <c r="F4" s="276"/>
      <c r="G4" s="276"/>
      <c r="H4" s="276"/>
      <c r="I4" s="97"/>
      <c r="J4" s="97" t="s">
        <v>199</v>
      </c>
      <c r="L4" s="97" t="s">
        <v>144</v>
      </c>
      <c r="Q4" s="253" t="s">
        <v>134</v>
      </c>
      <c r="R4" s="254"/>
      <c r="S4" s="255"/>
    </row>
    <row r="5" spans="1:27" ht="15.75" customHeight="1" thickBot="1" x14ac:dyDescent="0.3">
      <c r="A5" s="97" t="s">
        <v>2</v>
      </c>
      <c r="C5" s="276"/>
      <c r="D5" s="276"/>
      <c r="E5" s="97" t="s">
        <v>5</v>
      </c>
      <c r="F5" s="276"/>
      <c r="G5" s="276"/>
      <c r="H5" s="276"/>
      <c r="I5" s="97"/>
      <c r="J5" s="97" t="s">
        <v>200</v>
      </c>
      <c r="L5" s="97" t="s">
        <v>146</v>
      </c>
      <c r="Q5" s="98" t="s">
        <v>150</v>
      </c>
      <c r="R5" s="99" t="s">
        <v>151</v>
      </c>
      <c r="S5" s="100" t="s">
        <v>152</v>
      </c>
    </row>
    <row r="6" spans="1:27" ht="16.5" thickBot="1" x14ac:dyDescent="0.3">
      <c r="A6" s="97" t="s">
        <v>3</v>
      </c>
      <c r="C6" s="276"/>
      <c r="D6" s="276"/>
      <c r="E6" s="97" t="s">
        <v>6</v>
      </c>
      <c r="F6" s="276"/>
      <c r="G6" s="276"/>
      <c r="H6" s="276"/>
      <c r="I6" s="97"/>
      <c r="J6" s="97" t="s">
        <v>201</v>
      </c>
      <c r="L6" s="97" t="s">
        <v>139</v>
      </c>
      <c r="Q6" s="101">
        <v>76.900000000000006</v>
      </c>
      <c r="R6" s="102">
        <v>63</v>
      </c>
      <c r="S6" s="103">
        <v>52.6</v>
      </c>
    </row>
    <row r="7" spans="1:27" ht="16.5" thickBot="1" x14ac:dyDescent="0.3">
      <c r="A7" s="97" t="s">
        <v>9</v>
      </c>
      <c r="C7" s="276"/>
      <c r="D7" s="276"/>
      <c r="E7" s="97" t="s">
        <v>7</v>
      </c>
      <c r="F7" s="276"/>
      <c r="G7" s="276"/>
      <c r="H7" s="276"/>
      <c r="I7" s="97"/>
      <c r="J7" s="104"/>
      <c r="K7" s="104"/>
      <c r="L7" s="105"/>
      <c r="M7" s="105"/>
      <c r="N7" s="105"/>
      <c r="O7" s="105"/>
      <c r="P7" s="105"/>
      <c r="Q7" s="105"/>
      <c r="R7" s="105"/>
      <c r="S7" s="105"/>
      <c r="T7" s="105"/>
      <c r="U7" s="105"/>
    </row>
    <row r="8" spans="1:27" ht="15.75" customHeight="1" thickBot="1" x14ac:dyDescent="0.3">
      <c r="A8" s="97" t="s">
        <v>10</v>
      </c>
      <c r="C8" s="276"/>
      <c r="D8" s="276"/>
      <c r="E8" s="97" t="s">
        <v>147</v>
      </c>
      <c r="F8" s="276"/>
      <c r="G8" s="276"/>
      <c r="H8" s="276"/>
      <c r="N8" s="262" t="s">
        <v>133</v>
      </c>
      <c r="O8" s="263"/>
      <c r="P8" s="263"/>
      <c r="Q8" s="263"/>
      <c r="R8" s="263"/>
      <c r="S8" s="263"/>
      <c r="T8" s="263"/>
      <c r="U8" s="263"/>
      <c r="V8" s="263"/>
      <c r="W8" s="264"/>
    </row>
    <row r="9" spans="1:27" ht="15" customHeight="1" x14ac:dyDescent="0.25">
      <c r="E9" s="97" t="s">
        <v>8</v>
      </c>
      <c r="F9" s="276"/>
      <c r="G9" s="276"/>
      <c r="H9" s="276"/>
      <c r="J9" s="256" t="s">
        <v>138</v>
      </c>
      <c r="K9" s="257"/>
      <c r="L9" s="257"/>
      <c r="M9" s="258"/>
      <c r="N9" s="265" t="s">
        <v>287</v>
      </c>
      <c r="O9" s="266"/>
      <c r="P9" s="267"/>
      <c r="Q9" s="271" t="s">
        <v>214</v>
      </c>
      <c r="R9" s="272"/>
      <c r="S9" s="272"/>
      <c r="T9" s="216"/>
      <c r="U9" s="106"/>
      <c r="V9" s="181"/>
      <c r="W9" s="179"/>
    </row>
    <row r="10" spans="1:27" ht="32.25" customHeight="1" thickBot="1" x14ac:dyDescent="0.25">
      <c r="A10" s="275" t="s">
        <v>155</v>
      </c>
      <c r="B10" s="275"/>
      <c r="C10" s="238" t="s">
        <v>293</v>
      </c>
      <c r="J10" s="259"/>
      <c r="K10" s="260"/>
      <c r="L10" s="260"/>
      <c r="M10" s="261"/>
      <c r="N10" s="268"/>
      <c r="O10" s="269"/>
      <c r="P10" s="270"/>
      <c r="Q10" s="273"/>
      <c r="R10" s="274"/>
      <c r="S10" s="274"/>
      <c r="T10" s="217">
        <f>SUM(tbl_WohnsitzSO[Total])</f>
        <v>0</v>
      </c>
      <c r="U10" s="107"/>
      <c r="V10" s="202">
        <f>SUM(tbl_WohnsitzSO[Patienten Beteiligung])</f>
        <v>0</v>
      </c>
      <c r="W10" s="202">
        <f>SUM(tbl_WohnsitzSO[Mittel und Gegenstände (max. MiGeL) Einstandspreise])</f>
        <v>0</v>
      </c>
    </row>
    <row r="11" spans="1:27" ht="90" customHeight="1" thickBot="1" x14ac:dyDescent="0.25">
      <c r="A11" s="157" t="s">
        <v>181</v>
      </c>
      <c r="B11" s="182" t="s">
        <v>12</v>
      </c>
      <c r="C11" s="183" t="s">
        <v>2</v>
      </c>
      <c r="D11" s="183" t="s">
        <v>3</v>
      </c>
      <c r="E11" s="183" t="s">
        <v>14</v>
      </c>
      <c r="F11" s="183" t="s">
        <v>4</v>
      </c>
      <c r="G11" s="183" t="s">
        <v>5</v>
      </c>
      <c r="H11" s="184" t="s">
        <v>13</v>
      </c>
      <c r="I11" s="161" t="s">
        <v>194</v>
      </c>
      <c r="J11" s="150" t="s">
        <v>199</v>
      </c>
      <c r="K11" s="151" t="s">
        <v>200</v>
      </c>
      <c r="L11" s="152" t="s">
        <v>201</v>
      </c>
      <c r="M11" s="149" t="s">
        <v>193</v>
      </c>
      <c r="N11" s="158" t="s">
        <v>205</v>
      </c>
      <c r="O11" s="159" t="s">
        <v>206</v>
      </c>
      <c r="P11" s="160" t="s">
        <v>207</v>
      </c>
      <c r="Q11" s="153" t="s">
        <v>208</v>
      </c>
      <c r="R11" s="154" t="s">
        <v>209</v>
      </c>
      <c r="S11" s="155" t="s">
        <v>210</v>
      </c>
      <c r="T11" s="156" t="s">
        <v>11</v>
      </c>
      <c r="U11" s="109" t="s">
        <v>179</v>
      </c>
      <c r="V11" s="203" t="s">
        <v>198</v>
      </c>
      <c r="W11" s="215" t="s">
        <v>288</v>
      </c>
    </row>
    <row r="12" spans="1:27" x14ac:dyDescent="0.2">
      <c r="A12" s="110">
        <v>1</v>
      </c>
      <c r="B12" s="185"/>
      <c r="C12" s="185"/>
      <c r="D12" s="186"/>
      <c r="E12" s="187"/>
      <c r="F12" s="186"/>
      <c r="G12" s="185"/>
      <c r="H12" s="188"/>
      <c r="I12" s="192"/>
      <c r="J12" s="192"/>
      <c r="K12" s="192"/>
      <c r="L12" s="192"/>
      <c r="M12" s="176">
        <f>SUM(tbl_WohnsitzSO[[#This Row],[KLV A]:[KLV C]])</f>
        <v>0</v>
      </c>
      <c r="N12" s="112" t="str">
        <f>IFERROR(IF(IFERROR(MATCH($C$4&amp;$H12,Tabelle2[Codierung],0),0)&gt;0,VLOOKUP(H12,Tabelle1[[Ort]:[RK KLV C üD]],2,),VLOOKUP(H12,Tabelle1[[Ort]:[RK KLV C üD]],5)),"")</f>
        <v/>
      </c>
      <c r="O12" s="112" t="str">
        <f>IFERROR(IF(IFERROR(MATCH($C$4&amp;$H12,Tabelle2[Codierung],0),0)&gt;0,VLOOKUP(H12,Tabelle1[[Ort]:[RK KLV C üD]],3,),VLOOKUP(H12,Tabelle1[[Ort]:[RK KLV C üD]],6)),"")</f>
        <v/>
      </c>
      <c r="P12" s="112" t="str">
        <f>IFERROR(IF(IFERROR(MATCH($C$4&amp;$H12,Tabelle2[Codierung],0),0)&gt;0,VLOOKUP(H12,Tabelle1[[Ort]:[RK KLV C üD]],4,),VLOOKUP(H12,Tabelle1[[Ort]:[RK KLV C üD]],7)),"")</f>
        <v/>
      </c>
      <c r="Q12" s="113" t="str">
        <f>IFERROR(tbl_WohnsitzSO[[#This Row],[KLV A]]*tbl_WohnsitzSO[[#This Row],[KLV A Ansatz]]/60,"")</f>
        <v/>
      </c>
      <c r="R12" s="114" t="str">
        <f>IFERROR(tbl_WohnsitzSO[[#This Row],[KLV B]]*tbl_WohnsitzSO[[#This Row],[KLV B Ansatz]]/60,"")</f>
        <v/>
      </c>
      <c r="S12" s="114" t="str">
        <f>IFERROR(tbl_WohnsitzSO[[#This Row],[KLV C]]*tbl_WohnsitzSO[[#This Row],[KLV C Ansatz]]/60,"")</f>
        <v/>
      </c>
      <c r="T12" s="114">
        <f>IFERROR(SUM(tbl_WohnsitzSO[[#This Row],[KLV A Kosten]:[KLV C Kosten]]),"")</f>
        <v>0</v>
      </c>
      <c r="U12" s="111">
        <f>COUNTIF($H$12:$H12,H12)</f>
        <v>0</v>
      </c>
      <c r="V12" s="193"/>
      <c r="W12" s="193"/>
    </row>
    <row r="13" spans="1:27" x14ac:dyDescent="0.2">
      <c r="A13" s="115">
        <v>2</v>
      </c>
      <c r="B13" s="189"/>
      <c r="C13" s="189"/>
      <c r="D13" s="190"/>
      <c r="E13" s="191"/>
      <c r="F13" s="190"/>
      <c r="G13" s="189"/>
      <c r="H13" s="188"/>
      <c r="I13" s="189"/>
      <c r="J13" s="189"/>
      <c r="K13" s="189"/>
      <c r="L13" s="189"/>
      <c r="M13" s="116">
        <f>SUM(tbl_WohnsitzSO[[#This Row],[KLV A]:[KLV C]])</f>
        <v>0</v>
      </c>
      <c r="N13" s="117" t="str">
        <f>IFERROR(IF(IFERROR(MATCH($C$4&amp;$H13,Tabelle2[Codierung],0),0)&gt;0,VLOOKUP(H13,Tabelle1[[Ort]:[RK KLV C üD]],2,),VLOOKUP(H13,Tabelle1[[Ort]:[RK KLV C üD]],5)),"")</f>
        <v/>
      </c>
      <c r="O13" s="117" t="str">
        <f>IFERROR(IF(IFERROR(MATCH($C$4&amp;$H13,Tabelle2[Codierung],0),0)&gt;0,VLOOKUP(H13,Tabelle1[[Ort]:[RK KLV C üD]],3,),VLOOKUP(H13,Tabelle1[[Ort]:[RK KLV C üD]],6)),"")</f>
        <v/>
      </c>
      <c r="P13" s="117" t="str">
        <f>IFERROR(IF(IFERROR(MATCH($C$4&amp;$H13,Tabelle2[Codierung],0),0)&gt;0,VLOOKUP(H13,Tabelle1[[Ort]:[RK KLV C üD]],4,),VLOOKUP(H13,Tabelle1[[Ort]:[RK KLV C üD]],7)),"")</f>
        <v/>
      </c>
      <c r="Q13" s="118" t="str">
        <f>IFERROR(tbl_WohnsitzSO[[#This Row],[KLV A]]*tbl_WohnsitzSO[[#This Row],[KLV A Ansatz]]/60,"")</f>
        <v/>
      </c>
      <c r="R13" s="118" t="str">
        <f>IFERROR(tbl_WohnsitzSO[[#This Row],[KLV B]]*tbl_WohnsitzSO[[#This Row],[KLV B Ansatz]]/60,"")</f>
        <v/>
      </c>
      <c r="S13" s="118" t="str">
        <f>IFERROR(tbl_WohnsitzSO[[#This Row],[KLV C]]*tbl_WohnsitzSO[[#This Row],[KLV C Ansatz]]/60,"")</f>
        <v/>
      </c>
      <c r="T13" s="118">
        <f>IFERROR(SUM(tbl_WohnsitzSO[[#This Row],[KLV A Kosten]:[KLV C Kosten]]),"")</f>
        <v>0</v>
      </c>
      <c r="U13" s="116">
        <f>COUNTIF($H$12:$H13,H13)</f>
        <v>0</v>
      </c>
      <c r="V13" s="194"/>
      <c r="W13" s="194"/>
    </row>
    <row r="14" spans="1:27" x14ac:dyDescent="0.2">
      <c r="A14" s="115">
        <v>3</v>
      </c>
      <c r="B14" s="189"/>
      <c r="C14" s="189"/>
      <c r="D14" s="190"/>
      <c r="E14" s="191"/>
      <c r="F14" s="190"/>
      <c r="G14" s="189"/>
      <c r="H14" s="188"/>
      <c r="I14" s="189"/>
      <c r="J14" s="189"/>
      <c r="K14" s="189"/>
      <c r="L14" s="189"/>
      <c r="M14" s="116">
        <f>SUM(tbl_WohnsitzSO[[#This Row],[KLV A]:[KLV C]])</f>
        <v>0</v>
      </c>
      <c r="N14" s="117" t="str">
        <f>IFERROR(IF(IFERROR(MATCH($C$4&amp;$H14,Tabelle2[Codierung],0),0)&gt;0,VLOOKUP(H14,Tabelle1[[Ort]:[RK KLV C üD]],2,),VLOOKUP(H14,Tabelle1[[Ort]:[RK KLV C üD]],5)),"")</f>
        <v/>
      </c>
      <c r="O14" s="117" t="str">
        <f>IFERROR(IF(IFERROR(MATCH($C$4&amp;$H14,Tabelle2[Codierung],0),0)&gt;0,VLOOKUP(H14,Tabelle1[[Ort]:[RK KLV C üD]],3,),VLOOKUP(H14,Tabelle1[[Ort]:[RK KLV C üD]],6)),"")</f>
        <v/>
      </c>
      <c r="P14" s="117" t="str">
        <f>IFERROR(IF(IFERROR(MATCH($C$4&amp;$H14,Tabelle2[Codierung],0),0)&gt;0,VLOOKUP(H14,Tabelle1[[Ort]:[RK KLV C üD]],4,),VLOOKUP(H14,Tabelle1[[Ort]:[RK KLV C üD]],7)),"")</f>
        <v/>
      </c>
      <c r="Q14" s="118" t="str">
        <f>IFERROR(tbl_WohnsitzSO[[#This Row],[KLV A]]*tbl_WohnsitzSO[[#This Row],[KLV A Ansatz]]/60,"")</f>
        <v/>
      </c>
      <c r="R14" s="118" t="str">
        <f>IFERROR(tbl_WohnsitzSO[[#This Row],[KLV B]]*tbl_WohnsitzSO[[#This Row],[KLV B Ansatz]]/60,"")</f>
        <v/>
      </c>
      <c r="S14" s="118" t="str">
        <f>IFERROR(tbl_WohnsitzSO[[#This Row],[KLV C]]*tbl_WohnsitzSO[[#This Row],[KLV C Ansatz]]/60,"")</f>
        <v/>
      </c>
      <c r="T14" s="118">
        <f>IFERROR(SUM(tbl_WohnsitzSO[[#This Row],[KLV A Kosten]:[KLV C Kosten]]),"")</f>
        <v>0</v>
      </c>
      <c r="U14" s="116">
        <f>COUNTIF($H$12:$H14,H14)</f>
        <v>0</v>
      </c>
      <c r="V14" s="194"/>
      <c r="W14" s="194"/>
    </row>
    <row r="15" spans="1:27" x14ac:dyDescent="0.2">
      <c r="A15" s="115">
        <v>4</v>
      </c>
      <c r="B15" s="189"/>
      <c r="C15" s="189"/>
      <c r="D15" s="190"/>
      <c r="E15" s="191"/>
      <c r="F15" s="190"/>
      <c r="G15" s="189"/>
      <c r="H15" s="188"/>
      <c r="I15" s="189"/>
      <c r="J15" s="189"/>
      <c r="K15" s="189"/>
      <c r="L15" s="189"/>
      <c r="M15" s="116">
        <f>SUM(tbl_WohnsitzSO[[#This Row],[KLV A]:[KLV C]])</f>
        <v>0</v>
      </c>
      <c r="N15" s="117" t="str">
        <f>IFERROR(IF(IFERROR(MATCH($C$4&amp;$H15,Tabelle2[Codierung],0),0)&gt;0,VLOOKUP(H15,Tabelle1[[Ort]:[RK KLV C üD]],2,),VLOOKUP(H15,Tabelle1[[Ort]:[RK KLV C üD]],5)),"")</f>
        <v/>
      </c>
      <c r="O15" s="117" t="str">
        <f>IFERROR(IF(IFERROR(MATCH($C$4&amp;$H15,Tabelle2[Codierung],0),0)&gt;0,VLOOKUP(H15,Tabelle1[[Ort]:[RK KLV C üD]],3,),VLOOKUP(H15,Tabelle1[[Ort]:[RK KLV C üD]],6)),"")</f>
        <v/>
      </c>
      <c r="P15" s="117" t="str">
        <f>IFERROR(IF(IFERROR(MATCH($C$4&amp;$H15,Tabelle2[Codierung],0),0)&gt;0,VLOOKUP(H15,Tabelle1[[Ort]:[RK KLV C üD]],4,),VLOOKUP(H15,Tabelle1[[Ort]:[RK KLV C üD]],7)),"")</f>
        <v/>
      </c>
      <c r="Q15" s="118" t="str">
        <f>IFERROR(tbl_WohnsitzSO[[#This Row],[KLV A]]*tbl_WohnsitzSO[[#This Row],[KLV A Ansatz]]/60,"")</f>
        <v/>
      </c>
      <c r="R15" s="118" t="str">
        <f>IFERROR(tbl_WohnsitzSO[[#This Row],[KLV B]]*tbl_WohnsitzSO[[#This Row],[KLV B Ansatz]]/60,"")</f>
        <v/>
      </c>
      <c r="S15" s="118" t="str">
        <f>IFERROR(tbl_WohnsitzSO[[#This Row],[KLV C]]*tbl_WohnsitzSO[[#This Row],[KLV C Ansatz]]/60,"")</f>
        <v/>
      </c>
      <c r="T15" s="118">
        <f>IFERROR(SUM(tbl_WohnsitzSO[[#This Row],[KLV A Kosten]:[KLV C Kosten]]),"")</f>
        <v>0</v>
      </c>
      <c r="U15" s="116">
        <f>COUNTIF($H$12:$H15,H15)</f>
        <v>0</v>
      </c>
      <c r="V15" s="194"/>
      <c r="W15" s="194"/>
    </row>
    <row r="16" spans="1:27" x14ac:dyDescent="0.2">
      <c r="A16" s="115">
        <v>5</v>
      </c>
      <c r="B16" s="189"/>
      <c r="C16" s="189"/>
      <c r="D16" s="190"/>
      <c r="E16" s="191"/>
      <c r="F16" s="190"/>
      <c r="G16" s="189"/>
      <c r="H16" s="188"/>
      <c r="I16" s="189"/>
      <c r="J16" s="189"/>
      <c r="K16" s="189"/>
      <c r="L16" s="189"/>
      <c r="M16" s="116">
        <f>SUM(tbl_WohnsitzSO[[#This Row],[KLV A]:[KLV C]])</f>
        <v>0</v>
      </c>
      <c r="N16" s="117" t="str">
        <f>IFERROR(IF(IFERROR(MATCH($C$4&amp;$H16,Tabelle2[Codierung],0),0)&gt;0,VLOOKUP(H16,Tabelle1[[Ort]:[RK KLV C üD]],2,),VLOOKUP(H16,Tabelle1[[Ort]:[RK KLV C üD]],5)),"")</f>
        <v/>
      </c>
      <c r="O16" s="117" t="str">
        <f>IFERROR(IF(IFERROR(MATCH($C$4&amp;$H16,Tabelle2[Codierung],0),0)&gt;0,VLOOKUP(H16,Tabelle1[[Ort]:[RK KLV C üD]],3,),VLOOKUP(H16,Tabelle1[[Ort]:[RK KLV C üD]],6)),"")</f>
        <v/>
      </c>
      <c r="P16" s="117" t="str">
        <f>IFERROR(IF(IFERROR(MATCH($C$4&amp;$H16,Tabelle2[Codierung],0),0)&gt;0,VLOOKUP(H16,Tabelle1[[Ort]:[RK KLV C üD]],4,),VLOOKUP(H16,Tabelle1[[Ort]:[RK KLV C üD]],7)),"")</f>
        <v/>
      </c>
      <c r="Q16" s="118" t="str">
        <f>IFERROR(tbl_WohnsitzSO[[#This Row],[KLV A]]*tbl_WohnsitzSO[[#This Row],[KLV A Ansatz]]/60,"")</f>
        <v/>
      </c>
      <c r="R16" s="118" t="str">
        <f>IFERROR(tbl_WohnsitzSO[[#This Row],[KLV B]]*tbl_WohnsitzSO[[#This Row],[KLV B Ansatz]]/60,"")</f>
        <v/>
      </c>
      <c r="S16" s="118" t="str">
        <f>IFERROR(tbl_WohnsitzSO[[#This Row],[KLV C]]*tbl_WohnsitzSO[[#This Row],[KLV C Ansatz]]/60,"")</f>
        <v/>
      </c>
      <c r="T16" s="118">
        <f>IFERROR(SUM(tbl_WohnsitzSO[[#This Row],[KLV A Kosten]:[KLV C Kosten]]),"")</f>
        <v>0</v>
      </c>
      <c r="U16" s="116">
        <f>COUNTIF($H$12:$H16,H16)</f>
        <v>0</v>
      </c>
      <c r="V16" s="194"/>
      <c r="W16" s="194"/>
    </row>
    <row r="17" spans="1:23" x14ac:dyDescent="0.2">
      <c r="A17" s="115">
        <v>6</v>
      </c>
      <c r="B17" s="189"/>
      <c r="C17" s="189"/>
      <c r="D17" s="190"/>
      <c r="E17" s="191"/>
      <c r="F17" s="190"/>
      <c r="G17" s="189"/>
      <c r="H17" s="188"/>
      <c r="I17" s="189"/>
      <c r="J17" s="189"/>
      <c r="K17" s="189"/>
      <c r="L17" s="189"/>
      <c r="M17" s="116">
        <f>SUM(tbl_WohnsitzSO[[#This Row],[KLV A]:[KLV C]])</f>
        <v>0</v>
      </c>
      <c r="N17" s="117" t="str">
        <f>IFERROR(IF(IFERROR(MATCH($C$4&amp;$H17,Tabelle2[Codierung],0),0)&gt;0,VLOOKUP(H17,Tabelle1[[Ort]:[RK KLV C üD]],2,),VLOOKUP(H17,Tabelle1[[Ort]:[RK KLV C üD]],5)),"")</f>
        <v/>
      </c>
      <c r="O17" s="117" t="str">
        <f>IFERROR(IF(IFERROR(MATCH($C$4&amp;$H17,Tabelle2[Codierung],0),0)&gt;0,VLOOKUP(H17,Tabelle1[[Ort]:[RK KLV C üD]],3,),VLOOKUP(H17,Tabelle1[[Ort]:[RK KLV C üD]],6)),"")</f>
        <v/>
      </c>
      <c r="P17" s="117" t="str">
        <f>IFERROR(IF(IFERROR(MATCH($C$4&amp;$H17,Tabelle2[Codierung],0),0)&gt;0,VLOOKUP(H17,Tabelle1[[Ort]:[RK KLV C üD]],4,),VLOOKUP(H17,Tabelle1[[Ort]:[RK KLV C üD]],7)),"")</f>
        <v/>
      </c>
      <c r="Q17" s="118" t="str">
        <f>IFERROR(tbl_WohnsitzSO[[#This Row],[KLV A]]*tbl_WohnsitzSO[[#This Row],[KLV A Ansatz]]/60,"")</f>
        <v/>
      </c>
      <c r="R17" s="118" t="str">
        <f>IFERROR(tbl_WohnsitzSO[[#This Row],[KLV B]]*tbl_WohnsitzSO[[#This Row],[KLV B Ansatz]]/60,"")</f>
        <v/>
      </c>
      <c r="S17" s="118" t="str">
        <f>IFERROR(tbl_WohnsitzSO[[#This Row],[KLV C]]*tbl_WohnsitzSO[[#This Row],[KLV C Ansatz]]/60,"")</f>
        <v/>
      </c>
      <c r="T17" s="118">
        <f>IFERROR(SUM(tbl_WohnsitzSO[[#This Row],[KLV A Kosten]:[KLV C Kosten]]),"")</f>
        <v>0</v>
      </c>
      <c r="U17" s="116">
        <f>COUNTIF($H$12:$H17,H17)</f>
        <v>0</v>
      </c>
      <c r="V17" s="194"/>
      <c r="W17" s="194"/>
    </row>
    <row r="18" spans="1:23" x14ac:dyDescent="0.2">
      <c r="A18" s="115">
        <v>7</v>
      </c>
      <c r="B18" s="189"/>
      <c r="C18" s="189"/>
      <c r="D18" s="190"/>
      <c r="E18" s="191"/>
      <c r="F18" s="190"/>
      <c r="G18" s="189"/>
      <c r="H18" s="188"/>
      <c r="I18" s="189"/>
      <c r="J18" s="189"/>
      <c r="K18" s="189"/>
      <c r="L18" s="189"/>
      <c r="M18" s="116">
        <f>SUM(tbl_WohnsitzSO[[#This Row],[KLV A]:[KLV C]])</f>
        <v>0</v>
      </c>
      <c r="N18" s="117" t="str">
        <f>IFERROR(IF(IFERROR(MATCH($C$4&amp;$H18,Tabelle2[Codierung],0),0)&gt;0,VLOOKUP(H18,Tabelle1[[Ort]:[RK KLV C üD]],2,),VLOOKUP(H18,Tabelle1[[Ort]:[RK KLV C üD]],5)),"")</f>
        <v/>
      </c>
      <c r="O18" s="117" t="str">
        <f>IFERROR(IF(IFERROR(MATCH($C$4&amp;$H18,Tabelle2[Codierung],0),0)&gt;0,VLOOKUP(H18,Tabelle1[[Ort]:[RK KLV C üD]],3,),VLOOKUP(H18,Tabelle1[[Ort]:[RK KLV C üD]],6)),"")</f>
        <v/>
      </c>
      <c r="P18" s="117" t="str">
        <f>IFERROR(IF(IFERROR(MATCH($C$4&amp;$H18,Tabelle2[Codierung],0),0)&gt;0,VLOOKUP(H18,Tabelle1[[Ort]:[RK KLV C üD]],4,),VLOOKUP(H18,Tabelle1[[Ort]:[RK KLV C üD]],7)),"")</f>
        <v/>
      </c>
      <c r="Q18" s="118" t="str">
        <f>IFERROR(tbl_WohnsitzSO[[#This Row],[KLV A]]*tbl_WohnsitzSO[[#This Row],[KLV A Ansatz]]/60,"")</f>
        <v/>
      </c>
      <c r="R18" s="118" t="str">
        <f>IFERROR(tbl_WohnsitzSO[[#This Row],[KLV B]]*tbl_WohnsitzSO[[#This Row],[KLV B Ansatz]]/60,"")</f>
        <v/>
      </c>
      <c r="S18" s="118" t="str">
        <f>IFERROR(tbl_WohnsitzSO[[#This Row],[KLV C]]*tbl_WohnsitzSO[[#This Row],[KLV C Ansatz]]/60,"")</f>
        <v/>
      </c>
      <c r="T18" s="118">
        <f>IFERROR(SUM(tbl_WohnsitzSO[[#This Row],[KLV A Kosten]:[KLV C Kosten]]),"")</f>
        <v>0</v>
      </c>
      <c r="U18" s="116">
        <f>COUNTIF($H$12:$H18,H18)</f>
        <v>0</v>
      </c>
      <c r="V18" s="194"/>
      <c r="W18" s="194"/>
    </row>
    <row r="19" spans="1:23" x14ac:dyDescent="0.2">
      <c r="A19" s="115">
        <v>8</v>
      </c>
      <c r="B19" s="189"/>
      <c r="C19" s="189"/>
      <c r="D19" s="190"/>
      <c r="E19" s="191"/>
      <c r="F19" s="190"/>
      <c r="G19" s="189"/>
      <c r="H19" s="188"/>
      <c r="I19" s="189"/>
      <c r="J19" s="189"/>
      <c r="K19" s="189"/>
      <c r="L19" s="189"/>
      <c r="M19" s="116">
        <f>SUM(tbl_WohnsitzSO[[#This Row],[KLV A]:[KLV C]])</f>
        <v>0</v>
      </c>
      <c r="N19" s="117" t="str">
        <f>IFERROR(IF(IFERROR(MATCH($C$4&amp;$H19,Tabelle2[Codierung],0),0)&gt;0,VLOOKUP(H19,Tabelle1[[Ort]:[RK KLV C üD]],2,),VLOOKUP(H19,Tabelle1[[Ort]:[RK KLV C üD]],5)),"")</f>
        <v/>
      </c>
      <c r="O19" s="117" t="str">
        <f>IFERROR(IF(IFERROR(MATCH($C$4&amp;$H19,Tabelle2[Codierung],0),0)&gt;0,VLOOKUP(H19,Tabelle1[[Ort]:[RK KLV C üD]],3,),VLOOKUP(H19,Tabelle1[[Ort]:[RK KLV C üD]],6)),"")</f>
        <v/>
      </c>
      <c r="P19" s="117" t="str">
        <f>IFERROR(IF(IFERROR(MATCH($C$4&amp;$H19,Tabelle2[Codierung],0),0)&gt;0,VLOOKUP(H19,Tabelle1[[Ort]:[RK KLV C üD]],4,),VLOOKUP(H19,Tabelle1[[Ort]:[RK KLV C üD]],7)),"")</f>
        <v/>
      </c>
      <c r="Q19" s="118" t="str">
        <f>IFERROR(tbl_WohnsitzSO[[#This Row],[KLV A]]*tbl_WohnsitzSO[[#This Row],[KLV A Ansatz]]/60,"")</f>
        <v/>
      </c>
      <c r="R19" s="118" t="str">
        <f>IFERROR(tbl_WohnsitzSO[[#This Row],[KLV B]]*tbl_WohnsitzSO[[#This Row],[KLV B Ansatz]]/60,"")</f>
        <v/>
      </c>
      <c r="S19" s="118" t="str">
        <f>IFERROR(tbl_WohnsitzSO[[#This Row],[KLV C]]*tbl_WohnsitzSO[[#This Row],[KLV C Ansatz]]/60,"")</f>
        <v/>
      </c>
      <c r="T19" s="118">
        <f>IFERROR(SUM(tbl_WohnsitzSO[[#This Row],[KLV A Kosten]:[KLV C Kosten]]),"")</f>
        <v>0</v>
      </c>
      <c r="U19" s="116">
        <f>COUNTIF($H$12:$H19,H19)</f>
        <v>0</v>
      </c>
      <c r="V19" s="194"/>
      <c r="W19" s="194"/>
    </row>
    <row r="20" spans="1:23" x14ac:dyDescent="0.2">
      <c r="A20" s="115">
        <v>9</v>
      </c>
      <c r="B20" s="189"/>
      <c r="C20" s="189"/>
      <c r="D20" s="190"/>
      <c r="E20" s="191"/>
      <c r="F20" s="190"/>
      <c r="G20" s="189"/>
      <c r="H20" s="188"/>
      <c r="I20" s="189"/>
      <c r="J20" s="189"/>
      <c r="K20" s="189"/>
      <c r="L20" s="189"/>
      <c r="M20" s="116">
        <f>SUM(tbl_WohnsitzSO[[#This Row],[KLV A]:[KLV C]])</f>
        <v>0</v>
      </c>
      <c r="N20" s="117" t="str">
        <f>IFERROR(IF(IFERROR(MATCH($C$4&amp;$H20,Tabelle2[Codierung],0),0)&gt;0,VLOOKUP(H20,Tabelle1[[Ort]:[RK KLV C üD]],2,),VLOOKUP(H20,Tabelle1[[Ort]:[RK KLV C üD]],5)),"")</f>
        <v/>
      </c>
      <c r="O20" s="117" t="str">
        <f>IFERROR(IF(IFERROR(MATCH($C$4&amp;$H20,Tabelle2[Codierung],0),0)&gt;0,VLOOKUP(H20,Tabelle1[[Ort]:[RK KLV C üD]],3,),VLOOKUP(H20,Tabelle1[[Ort]:[RK KLV C üD]],6)),"")</f>
        <v/>
      </c>
      <c r="P20" s="117" t="str">
        <f>IFERROR(IF(IFERROR(MATCH($C$4&amp;$H20,Tabelle2[Codierung],0),0)&gt;0,VLOOKUP(H20,Tabelle1[[Ort]:[RK KLV C üD]],4,),VLOOKUP(H20,Tabelle1[[Ort]:[RK KLV C üD]],7)),"")</f>
        <v/>
      </c>
      <c r="Q20" s="118" t="str">
        <f>IFERROR(tbl_WohnsitzSO[[#This Row],[KLV A]]*tbl_WohnsitzSO[[#This Row],[KLV A Ansatz]]/60,"")</f>
        <v/>
      </c>
      <c r="R20" s="118" t="str">
        <f>IFERROR(tbl_WohnsitzSO[[#This Row],[KLV B]]*tbl_WohnsitzSO[[#This Row],[KLV B Ansatz]]/60,"")</f>
        <v/>
      </c>
      <c r="S20" s="118" t="str">
        <f>IFERROR(tbl_WohnsitzSO[[#This Row],[KLV C]]*tbl_WohnsitzSO[[#This Row],[KLV C Ansatz]]/60,"")</f>
        <v/>
      </c>
      <c r="T20" s="118">
        <f>IFERROR(SUM(tbl_WohnsitzSO[[#This Row],[KLV A Kosten]:[KLV C Kosten]]),"")</f>
        <v>0</v>
      </c>
      <c r="U20" s="116">
        <f>COUNTIF($H$12:$H20,H20)</f>
        <v>0</v>
      </c>
      <c r="V20" s="194"/>
      <c r="W20" s="194"/>
    </row>
    <row r="21" spans="1:23" x14ac:dyDescent="0.2">
      <c r="A21" s="115">
        <v>10</v>
      </c>
      <c r="B21" s="189"/>
      <c r="C21" s="189"/>
      <c r="D21" s="190"/>
      <c r="E21" s="191"/>
      <c r="F21" s="190"/>
      <c r="G21" s="189"/>
      <c r="H21" s="188"/>
      <c r="I21" s="189"/>
      <c r="J21" s="189"/>
      <c r="K21" s="189"/>
      <c r="L21" s="189"/>
      <c r="M21" s="116">
        <f>SUM(tbl_WohnsitzSO[[#This Row],[KLV A]:[KLV C]])</f>
        <v>0</v>
      </c>
      <c r="N21" s="117" t="str">
        <f>IFERROR(IF(IFERROR(MATCH($C$4&amp;$H21,Tabelle2[Codierung],0),0)&gt;0,VLOOKUP(H21,Tabelle1[[Ort]:[RK KLV C üD]],2,),VLOOKUP(H21,Tabelle1[[Ort]:[RK KLV C üD]],5)),"")</f>
        <v/>
      </c>
      <c r="O21" s="117" t="str">
        <f>IFERROR(IF(IFERROR(MATCH($C$4&amp;$H21,Tabelle2[Codierung],0),0)&gt;0,VLOOKUP(H21,Tabelle1[[Ort]:[RK KLV C üD]],3,),VLOOKUP(H21,Tabelle1[[Ort]:[RK KLV C üD]],6)),"")</f>
        <v/>
      </c>
      <c r="P21" s="117" t="str">
        <f>IFERROR(IF(IFERROR(MATCH($C$4&amp;$H21,Tabelle2[Codierung],0),0)&gt;0,VLOOKUP(H21,Tabelle1[[Ort]:[RK KLV C üD]],4,),VLOOKUP(H21,Tabelle1[[Ort]:[RK KLV C üD]],7)),"")</f>
        <v/>
      </c>
      <c r="Q21" s="118" t="str">
        <f>IFERROR(tbl_WohnsitzSO[[#This Row],[KLV A]]*tbl_WohnsitzSO[[#This Row],[KLV A Ansatz]]/60,"")</f>
        <v/>
      </c>
      <c r="R21" s="118" t="str">
        <f>IFERROR(tbl_WohnsitzSO[[#This Row],[KLV B]]*tbl_WohnsitzSO[[#This Row],[KLV B Ansatz]]/60,"")</f>
        <v/>
      </c>
      <c r="S21" s="118" t="str">
        <f>IFERROR(tbl_WohnsitzSO[[#This Row],[KLV C]]*tbl_WohnsitzSO[[#This Row],[KLV C Ansatz]]/60,"")</f>
        <v/>
      </c>
      <c r="T21" s="118">
        <f>IFERROR(SUM(tbl_WohnsitzSO[[#This Row],[KLV A Kosten]:[KLV C Kosten]]),"")</f>
        <v>0</v>
      </c>
      <c r="U21" s="116">
        <f>COUNTIF($H$12:$H21,H21)</f>
        <v>0</v>
      </c>
      <c r="V21" s="194"/>
      <c r="W21" s="194"/>
    </row>
    <row r="22" spans="1:23" x14ac:dyDescent="0.2">
      <c r="A22" s="115">
        <v>11</v>
      </c>
      <c r="B22" s="189"/>
      <c r="C22" s="189"/>
      <c r="D22" s="190"/>
      <c r="E22" s="191"/>
      <c r="F22" s="190"/>
      <c r="G22" s="189"/>
      <c r="H22" s="188"/>
      <c r="I22" s="189"/>
      <c r="J22" s="189"/>
      <c r="K22" s="189"/>
      <c r="L22" s="189"/>
      <c r="M22" s="116">
        <f>SUM(tbl_WohnsitzSO[[#This Row],[KLV A]:[KLV C]])</f>
        <v>0</v>
      </c>
      <c r="N22" s="117" t="str">
        <f>IFERROR(IF(IFERROR(MATCH($C$4&amp;$H22,Tabelle2[Codierung],0),0)&gt;0,VLOOKUP(H22,Tabelle1[[Ort]:[RK KLV C üD]],2,),VLOOKUP(H22,Tabelle1[[Ort]:[RK KLV C üD]],5)),"")</f>
        <v/>
      </c>
      <c r="O22" s="117" t="str">
        <f>IFERROR(IF(IFERROR(MATCH($C$4&amp;$H22,Tabelle2[Codierung],0),0)&gt;0,VLOOKUP(H22,Tabelle1[[Ort]:[RK KLV C üD]],3,),VLOOKUP(H22,Tabelle1[[Ort]:[RK KLV C üD]],6)),"")</f>
        <v/>
      </c>
      <c r="P22" s="117" t="str">
        <f>IFERROR(IF(IFERROR(MATCH($C$4&amp;$H22,Tabelle2[Codierung],0),0)&gt;0,VLOOKUP(H22,Tabelle1[[Ort]:[RK KLV C üD]],4,),VLOOKUP(H22,Tabelle1[[Ort]:[RK KLV C üD]],7)),"")</f>
        <v/>
      </c>
      <c r="Q22" s="118" t="str">
        <f>IFERROR(tbl_WohnsitzSO[[#This Row],[KLV A]]*tbl_WohnsitzSO[[#This Row],[KLV A Ansatz]]/60,"")</f>
        <v/>
      </c>
      <c r="R22" s="118" t="str">
        <f>IFERROR(tbl_WohnsitzSO[[#This Row],[KLV B]]*tbl_WohnsitzSO[[#This Row],[KLV B Ansatz]]/60,"")</f>
        <v/>
      </c>
      <c r="S22" s="118" t="str">
        <f>IFERROR(tbl_WohnsitzSO[[#This Row],[KLV C]]*tbl_WohnsitzSO[[#This Row],[KLV C Ansatz]]/60,"")</f>
        <v/>
      </c>
      <c r="T22" s="118">
        <f>IFERROR(SUM(tbl_WohnsitzSO[[#This Row],[KLV A Kosten]:[KLV C Kosten]]),"")</f>
        <v>0</v>
      </c>
      <c r="U22" s="116">
        <f>COUNTIF($H$12:$H22,H22)</f>
        <v>0</v>
      </c>
      <c r="V22" s="194"/>
      <c r="W22" s="194"/>
    </row>
    <row r="23" spans="1:23" x14ac:dyDescent="0.2">
      <c r="A23" s="115">
        <v>12</v>
      </c>
      <c r="B23" s="189"/>
      <c r="C23" s="189"/>
      <c r="D23" s="190"/>
      <c r="E23" s="191"/>
      <c r="F23" s="190"/>
      <c r="G23" s="189"/>
      <c r="H23" s="188"/>
      <c r="I23" s="189"/>
      <c r="J23" s="189"/>
      <c r="K23" s="189"/>
      <c r="L23" s="189"/>
      <c r="M23" s="116">
        <f>SUM(tbl_WohnsitzSO[[#This Row],[KLV A]:[KLV C]])</f>
        <v>0</v>
      </c>
      <c r="N23" s="117" t="str">
        <f>IFERROR(IF(IFERROR(MATCH($C$4&amp;$H23,Tabelle2[Codierung],0),0)&gt;0,VLOOKUP(H23,Tabelle1[[Ort]:[RK KLV C üD]],2,),VLOOKUP(H23,Tabelle1[[Ort]:[RK KLV C üD]],5)),"")</f>
        <v/>
      </c>
      <c r="O23" s="117" t="str">
        <f>IFERROR(IF(IFERROR(MATCH($C$4&amp;$H23,Tabelle2[Codierung],0),0)&gt;0,VLOOKUP(H23,Tabelle1[[Ort]:[RK KLV C üD]],3,),VLOOKUP(H23,Tabelle1[[Ort]:[RK KLV C üD]],6)),"")</f>
        <v/>
      </c>
      <c r="P23" s="117" t="str">
        <f>IFERROR(IF(IFERROR(MATCH($C$4&amp;$H23,Tabelle2[Codierung],0),0)&gt;0,VLOOKUP(H23,Tabelle1[[Ort]:[RK KLV C üD]],4,),VLOOKUP(H23,Tabelle1[[Ort]:[RK KLV C üD]],7)),"")</f>
        <v/>
      </c>
      <c r="Q23" s="118" t="str">
        <f>IFERROR(tbl_WohnsitzSO[[#This Row],[KLV A]]*tbl_WohnsitzSO[[#This Row],[KLV A Ansatz]]/60,"")</f>
        <v/>
      </c>
      <c r="R23" s="118" t="str">
        <f>IFERROR(tbl_WohnsitzSO[[#This Row],[KLV B]]*tbl_WohnsitzSO[[#This Row],[KLV B Ansatz]]/60,"")</f>
        <v/>
      </c>
      <c r="S23" s="118" t="str">
        <f>IFERROR(tbl_WohnsitzSO[[#This Row],[KLV C]]*tbl_WohnsitzSO[[#This Row],[KLV C Ansatz]]/60,"")</f>
        <v/>
      </c>
      <c r="T23" s="118">
        <f>IFERROR(SUM(tbl_WohnsitzSO[[#This Row],[KLV A Kosten]:[KLV C Kosten]]),"")</f>
        <v>0</v>
      </c>
      <c r="U23" s="116">
        <f>COUNTIF($H$12:$H23,H23)</f>
        <v>0</v>
      </c>
      <c r="V23" s="194"/>
      <c r="W23" s="194"/>
    </row>
    <row r="24" spans="1:23" x14ac:dyDescent="0.2">
      <c r="A24" s="115">
        <v>13</v>
      </c>
      <c r="B24" s="189"/>
      <c r="C24" s="189"/>
      <c r="D24" s="190"/>
      <c r="E24" s="191"/>
      <c r="F24" s="190"/>
      <c r="G24" s="189"/>
      <c r="H24" s="188"/>
      <c r="I24" s="189"/>
      <c r="J24" s="189"/>
      <c r="K24" s="189"/>
      <c r="L24" s="189"/>
      <c r="M24" s="116">
        <f>SUM(tbl_WohnsitzSO[[#This Row],[KLV A]:[KLV C]])</f>
        <v>0</v>
      </c>
      <c r="N24" s="117" t="str">
        <f>IFERROR(IF(IFERROR(MATCH($C$4&amp;$H24,Tabelle2[Codierung],0),0)&gt;0,VLOOKUP(H24,Tabelle1[[Ort]:[RK KLV C üD]],2,),VLOOKUP(H24,Tabelle1[[Ort]:[RK KLV C üD]],5)),"")</f>
        <v/>
      </c>
      <c r="O24" s="117" t="str">
        <f>IFERROR(IF(IFERROR(MATCH($C$4&amp;$H24,Tabelle2[Codierung],0),0)&gt;0,VLOOKUP(H24,Tabelle1[[Ort]:[RK KLV C üD]],3,),VLOOKUP(H24,Tabelle1[[Ort]:[RK KLV C üD]],6)),"")</f>
        <v/>
      </c>
      <c r="P24" s="117" t="str">
        <f>IFERROR(IF(IFERROR(MATCH($C$4&amp;$H24,Tabelle2[Codierung],0),0)&gt;0,VLOOKUP(H24,Tabelle1[[Ort]:[RK KLV C üD]],4,),VLOOKUP(H24,Tabelle1[[Ort]:[RK KLV C üD]],7)),"")</f>
        <v/>
      </c>
      <c r="Q24" s="118" t="str">
        <f>IFERROR(tbl_WohnsitzSO[[#This Row],[KLV A]]*tbl_WohnsitzSO[[#This Row],[KLV A Ansatz]]/60,"")</f>
        <v/>
      </c>
      <c r="R24" s="118" t="str">
        <f>IFERROR(tbl_WohnsitzSO[[#This Row],[KLV B]]*tbl_WohnsitzSO[[#This Row],[KLV B Ansatz]]/60,"")</f>
        <v/>
      </c>
      <c r="S24" s="118" t="str">
        <f>IFERROR(tbl_WohnsitzSO[[#This Row],[KLV C]]*tbl_WohnsitzSO[[#This Row],[KLV C Ansatz]]/60,"")</f>
        <v/>
      </c>
      <c r="T24" s="118">
        <f>IFERROR(SUM(tbl_WohnsitzSO[[#This Row],[KLV A Kosten]:[KLV C Kosten]]),"")</f>
        <v>0</v>
      </c>
      <c r="U24" s="116">
        <f>COUNTIF($H$12:$H24,H24)</f>
        <v>0</v>
      </c>
      <c r="V24" s="194"/>
      <c r="W24" s="194"/>
    </row>
    <row r="25" spans="1:23" x14ac:dyDescent="0.2">
      <c r="A25" s="115">
        <v>14</v>
      </c>
      <c r="B25" s="189"/>
      <c r="C25" s="189"/>
      <c r="D25" s="190"/>
      <c r="E25" s="191"/>
      <c r="F25" s="190"/>
      <c r="G25" s="189"/>
      <c r="H25" s="188"/>
      <c r="I25" s="189"/>
      <c r="J25" s="189"/>
      <c r="K25" s="189"/>
      <c r="L25" s="189"/>
      <c r="M25" s="116">
        <f>SUM(tbl_WohnsitzSO[[#This Row],[KLV A]:[KLV C]])</f>
        <v>0</v>
      </c>
      <c r="N25" s="117" t="str">
        <f>IFERROR(IF(IFERROR(MATCH($C$4&amp;$H25,Tabelle2[Codierung],0),0)&gt;0,VLOOKUP(H25,Tabelle1[[Ort]:[RK KLV C üD]],2,),VLOOKUP(H25,Tabelle1[[Ort]:[RK KLV C üD]],5)),"")</f>
        <v/>
      </c>
      <c r="O25" s="117" t="str">
        <f>IFERROR(IF(IFERROR(MATCH($C$4&amp;$H25,Tabelle2[Codierung],0),0)&gt;0,VLOOKUP(H25,Tabelle1[[Ort]:[RK KLV C üD]],3,),VLOOKUP(H25,Tabelle1[[Ort]:[RK KLV C üD]],6)),"")</f>
        <v/>
      </c>
      <c r="P25" s="117" t="str">
        <f>IFERROR(IF(IFERROR(MATCH($C$4&amp;$H25,Tabelle2[Codierung],0),0)&gt;0,VLOOKUP(H25,Tabelle1[[Ort]:[RK KLV C üD]],4,),VLOOKUP(H25,Tabelle1[[Ort]:[RK KLV C üD]],7)),"")</f>
        <v/>
      </c>
      <c r="Q25" s="118" t="str">
        <f>IFERROR(tbl_WohnsitzSO[[#This Row],[KLV A]]*tbl_WohnsitzSO[[#This Row],[KLV A Ansatz]]/60,"")</f>
        <v/>
      </c>
      <c r="R25" s="118" t="str">
        <f>IFERROR(tbl_WohnsitzSO[[#This Row],[KLV B]]*tbl_WohnsitzSO[[#This Row],[KLV B Ansatz]]/60,"")</f>
        <v/>
      </c>
      <c r="S25" s="118" t="str">
        <f>IFERROR(tbl_WohnsitzSO[[#This Row],[KLV C]]*tbl_WohnsitzSO[[#This Row],[KLV C Ansatz]]/60,"")</f>
        <v/>
      </c>
      <c r="T25" s="118">
        <f>IFERROR(SUM(tbl_WohnsitzSO[[#This Row],[KLV A Kosten]:[KLV C Kosten]]),"")</f>
        <v>0</v>
      </c>
      <c r="U25" s="116">
        <f>COUNTIF($H$12:$H25,H25)</f>
        <v>0</v>
      </c>
      <c r="V25" s="194"/>
      <c r="W25" s="194"/>
    </row>
    <row r="26" spans="1:23" x14ac:dyDescent="0.2">
      <c r="A26" s="115">
        <v>15</v>
      </c>
      <c r="B26" s="189"/>
      <c r="C26" s="189"/>
      <c r="D26" s="190"/>
      <c r="E26" s="191"/>
      <c r="F26" s="190"/>
      <c r="G26" s="189"/>
      <c r="H26" s="188"/>
      <c r="I26" s="189"/>
      <c r="J26" s="189"/>
      <c r="K26" s="189"/>
      <c r="L26" s="189"/>
      <c r="M26" s="116">
        <f>SUM(tbl_WohnsitzSO[[#This Row],[KLV A]:[KLV C]])</f>
        <v>0</v>
      </c>
      <c r="N26" s="117" t="str">
        <f>IFERROR(IF(IFERROR(MATCH($C$4&amp;$H26,Tabelle2[Codierung],0),0)&gt;0,VLOOKUP(H26,Tabelle1[[Ort]:[RK KLV C üD]],2,),VLOOKUP(H26,Tabelle1[[Ort]:[RK KLV C üD]],5)),"")</f>
        <v/>
      </c>
      <c r="O26" s="117" t="str">
        <f>IFERROR(IF(IFERROR(MATCH($C$4&amp;$H26,Tabelle2[Codierung],0),0)&gt;0,VLOOKUP(H26,Tabelle1[[Ort]:[RK KLV C üD]],3,),VLOOKUP(H26,Tabelle1[[Ort]:[RK KLV C üD]],6)),"")</f>
        <v/>
      </c>
      <c r="P26" s="117" t="str">
        <f>IFERROR(IF(IFERROR(MATCH($C$4&amp;$H26,Tabelle2[Codierung],0),0)&gt;0,VLOOKUP(H26,Tabelle1[[Ort]:[RK KLV C üD]],4,),VLOOKUP(H26,Tabelle1[[Ort]:[RK KLV C üD]],7)),"")</f>
        <v/>
      </c>
      <c r="Q26" s="118" t="str">
        <f>IFERROR(tbl_WohnsitzSO[[#This Row],[KLV A]]*tbl_WohnsitzSO[[#This Row],[KLV A Ansatz]]/60,"")</f>
        <v/>
      </c>
      <c r="R26" s="118" t="str">
        <f>IFERROR(tbl_WohnsitzSO[[#This Row],[KLV B]]*tbl_WohnsitzSO[[#This Row],[KLV B Ansatz]]/60,"")</f>
        <v/>
      </c>
      <c r="S26" s="118" t="str">
        <f>IFERROR(tbl_WohnsitzSO[[#This Row],[KLV C]]*tbl_WohnsitzSO[[#This Row],[KLV C Ansatz]]/60,"")</f>
        <v/>
      </c>
      <c r="T26" s="118">
        <f>IFERROR(SUM(tbl_WohnsitzSO[[#This Row],[KLV A Kosten]:[KLV C Kosten]]),"")</f>
        <v>0</v>
      </c>
      <c r="U26" s="116">
        <f>COUNTIF($H$12:$H26,H26)</f>
        <v>0</v>
      </c>
      <c r="V26" s="194"/>
      <c r="W26" s="194"/>
    </row>
    <row r="27" spans="1:23" x14ac:dyDescent="0.2">
      <c r="A27" s="115">
        <v>16</v>
      </c>
      <c r="B27" s="189"/>
      <c r="C27" s="189"/>
      <c r="D27" s="190"/>
      <c r="E27" s="191"/>
      <c r="F27" s="190"/>
      <c r="G27" s="189"/>
      <c r="H27" s="188"/>
      <c r="I27" s="189"/>
      <c r="J27" s="189"/>
      <c r="K27" s="189"/>
      <c r="L27" s="189"/>
      <c r="M27" s="116">
        <f>SUM(tbl_WohnsitzSO[[#This Row],[KLV A]:[KLV C]])</f>
        <v>0</v>
      </c>
      <c r="N27" s="117" t="str">
        <f>IFERROR(IF(IFERROR(MATCH($C$4&amp;$H27,Tabelle2[Codierung],0),0)&gt;0,VLOOKUP(H27,Tabelle1[[Ort]:[RK KLV C üD]],2,),VLOOKUP(H27,Tabelle1[[Ort]:[RK KLV C üD]],5)),"")</f>
        <v/>
      </c>
      <c r="O27" s="117" t="str">
        <f>IFERROR(IF(IFERROR(MATCH($C$4&amp;$H27,Tabelle2[Codierung],0),0)&gt;0,VLOOKUP(H27,Tabelle1[[Ort]:[RK KLV C üD]],3,),VLOOKUP(H27,Tabelle1[[Ort]:[RK KLV C üD]],6)),"")</f>
        <v/>
      </c>
      <c r="P27" s="117" t="str">
        <f>IFERROR(IF(IFERROR(MATCH($C$4&amp;$H27,Tabelle2[Codierung],0),0)&gt;0,VLOOKUP(H27,Tabelle1[[Ort]:[RK KLV C üD]],4,),VLOOKUP(H27,Tabelle1[[Ort]:[RK KLV C üD]],7)),"")</f>
        <v/>
      </c>
      <c r="Q27" s="118" t="str">
        <f>IFERROR(tbl_WohnsitzSO[[#This Row],[KLV A]]*tbl_WohnsitzSO[[#This Row],[KLV A Ansatz]]/60,"")</f>
        <v/>
      </c>
      <c r="R27" s="118" t="str">
        <f>IFERROR(tbl_WohnsitzSO[[#This Row],[KLV B]]*tbl_WohnsitzSO[[#This Row],[KLV B Ansatz]]/60,"")</f>
        <v/>
      </c>
      <c r="S27" s="118" t="str">
        <f>IFERROR(tbl_WohnsitzSO[[#This Row],[KLV C]]*tbl_WohnsitzSO[[#This Row],[KLV C Ansatz]]/60,"")</f>
        <v/>
      </c>
      <c r="T27" s="118">
        <f>IFERROR(SUM(tbl_WohnsitzSO[[#This Row],[KLV A Kosten]:[KLV C Kosten]]),"")</f>
        <v>0</v>
      </c>
      <c r="U27" s="116">
        <f>COUNTIF($H$12:$H27,H27)</f>
        <v>0</v>
      </c>
      <c r="V27" s="194"/>
      <c r="W27" s="194"/>
    </row>
    <row r="28" spans="1:23" x14ac:dyDescent="0.2">
      <c r="A28" s="115">
        <v>17</v>
      </c>
      <c r="B28" s="189"/>
      <c r="C28" s="189"/>
      <c r="D28" s="190"/>
      <c r="E28" s="191"/>
      <c r="F28" s="190"/>
      <c r="G28" s="189"/>
      <c r="H28" s="188"/>
      <c r="I28" s="189"/>
      <c r="J28" s="189"/>
      <c r="K28" s="189"/>
      <c r="L28" s="189"/>
      <c r="M28" s="116">
        <f>SUM(tbl_WohnsitzSO[[#This Row],[KLV A]:[KLV C]])</f>
        <v>0</v>
      </c>
      <c r="N28" s="117" t="str">
        <f>IFERROR(IF(IFERROR(MATCH($C$4&amp;$H28,Tabelle2[Codierung],0),0)&gt;0,VLOOKUP(H28,Tabelle1[[Ort]:[RK KLV C üD]],2,),VLOOKUP(H28,Tabelle1[[Ort]:[RK KLV C üD]],5)),"")</f>
        <v/>
      </c>
      <c r="O28" s="117" t="str">
        <f>IFERROR(IF(IFERROR(MATCH($C$4&amp;$H28,Tabelle2[Codierung],0),0)&gt;0,VLOOKUP(H28,Tabelle1[[Ort]:[RK KLV C üD]],3,),VLOOKUP(H28,Tabelle1[[Ort]:[RK KLV C üD]],6)),"")</f>
        <v/>
      </c>
      <c r="P28" s="117" t="str">
        <f>IFERROR(IF(IFERROR(MATCH($C$4&amp;$H28,Tabelle2[Codierung],0),0)&gt;0,VLOOKUP(H28,Tabelle1[[Ort]:[RK KLV C üD]],4,),VLOOKUP(H28,Tabelle1[[Ort]:[RK KLV C üD]],7)),"")</f>
        <v/>
      </c>
      <c r="Q28" s="118" t="str">
        <f>IFERROR(tbl_WohnsitzSO[[#This Row],[KLV A]]*tbl_WohnsitzSO[[#This Row],[KLV A Ansatz]]/60,"")</f>
        <v/>
      </c>
      <c r="R28" s="118" t="str">
        <f>IFERROR(tbl_WohnsitzSO[[#This Row],[KLV B]]*tbl_WohnsitzSO[[#This Row],[KLV B Ansatz]]/60,"")</f>
        <v/>
      </c>
      <c r="S28" s="118" t="str">
        <f>IFERROR(tbl_WohnsitzSO[[#This Row],[KLV C]]*tbl_WohnsitzSO[[#This Row],[KLV C Ansatz]]/60,"")</f>
        <v/>
      </c>
      <c r="T28" s="118">
        <f>IFERROR(SUM(tbl_WohnsitzSO[[#This Row],[KLV A Kosten]:[KLV C Kosten]]),"")</f>
        <v>0</v>
      </c>
      <c r="U28" s="116">
        <f>COUNTIF($H$12:$H28,H28)</f>
        <v>0</v>
      </c>
      <c r="V28" s="194"/>
      <c r="W28" s="194"/>
    </row>
    <row r="29" spans="1:23" x14ac:dyDescent="0.2">
      <c r="A29" s="115">
        <v>18</v>
      </c>
      <c r="B29" s="189"/>
      <c r="C29" s="189"/>
      <c r="D29" s="190"/>
      <c r="E29" s="191"/>
      <c r="F29" s="190"/>
      <c r="G29" s="189"/>
      <c r="H29" s="188"/>
      <c r="I29" s="189"/>
      <c r="J29" s="189"/>
      <c r="K29" s="189"/>
      <c r="L29" s="189"/>
      <c r="M29" s="116">
        <f>SUM(tbl_WohnsitzSO[[#This Row],[KLV A]:[KLV C]])</f>
        <v>0</v>
      </c>
      <c r="N29" s="117" t="str">
        <f>IFERROR(IF(IFERROR(MATCH($C$4&amp;$H29,Tabelle2[Codierung],0),0)&gt;0,VLOOKUP(H29,Tabelle1[[Ort]:[RK KLV C üD]],2,),VLOOKUP(H29,Tabelle1[[Ort]:[RK KLV C üD]],5)),"")</f>
        <v/>
      </c>
      <c r="O29" s="117" t="str">
        <f>IFERROR(IF(IFERROR(MATCH($C$4&amp;$H29,Tabelle2[Codierung],0),0)&gt;0,VLOOKUP(H29,Tabelle1[[Ort]:[RK KLV C üD]],3,),VLOOKUP(H29,Tabelle1[[Ort]:[RK KLV C üD]],6)),"")</f>
        <v/>
      </c>
      <c r="P29" s="117" t="str">
        <f>IFERROR(IF(IFERROR(MATCH($C$4&amp;$H29,Tabelle2[Codierung],0),0)&gt;0,VLOOKUP(H29,Tabelle1[[Ort]:[RK KLV C üD]],4,),VLOOKUP(H29,Tabelle1[[Ort]:[RK KLV C üD]],7)),"")</f>
        <v/>
      </c>
      <c r="Q29" s="118" t="str">
        <f>IFERROR(tbl_WohnsitzSO[[#This Row],[KLV A]]*tbl_WohnsitzSO[[#This Row],[KLV A Ansatz]]/60,"")</f>
        <v/>
      </c>
      <c r="R29" s="118" t="str">
        <f>IFERROR(tbl_WohnsitzSO[[#This Row],[KLV B]]*tbl_WohnsitzSO[[#This Row],[KLV B Ansatz]]/60,"")</f>
        <v/>
      </c>
      <c r="S29" s="118" t="str">
        <f>IFERROR(tbl_WohnsitzSO[[#This Row],[KLV C]]*tbl_WohnsitzSO[[#This Row],[KLV C Ansatz]]/60,"")</f>
        <v/>
      </c>
      <c r="T29" s="118">
        <f>IFERROR(SUM(tbl_WohnsitzSO[[#This Row],[KLV A Kosten]:[KLV C Kosten]]),"")</f>
        <v>0</v>
      </c>
      <c r="U29" s="116">
        <f>COUNTIF($H$12:$H29,H29)</f>
        <v>0</v>
      </c>
      <c r="V29" s="194"/>
      <c r="W29" s="194"/>
    </row>
    <row r="30" spans="1:23" x14ac:dyDescent="0.2">
      <c r="A30" s="115">
        <v>19</v>
      </c>
      <c r="B30" s="189"/>
      <c r="C30" s="189"/>
      <c r="D30" s="190"/>
      <c r="E30" s="191"/>
      <c r="F30" s="190"/>
      <c r="G30" s="189"/>
      <c r="H30" s="188"/>
      <c r="I30" s="189"/>
      <c r="J30" s="189"/>
      <c r="K30" s="189"/>
      <c r="L30" s="189"/>
      <c r="M30" s="116">
        <f>SUM(tbl_WohnsitzSO[[#This Row],[KLV A]:[KLV C]])</f>
        <v>0</v>
      </c>
      <c r="N30" s="117" t="str">
        <f>IFERROR(IF(IFERROR(MATCH($C$4&amp;$H30,Tabelle2[Codierung],0),0)&gt;0,VLOOKUP(H30,Tabelle1[[Ort]:[RK KLV C üD]],2,),VLOOKUP(H30,Tabelle1[[Ort]:[RK KLV C üD]],5)),"")</f>
        <v/>
      </c>
      <c r="O30" s="117" t="str">
        <f>IFERROR(IF(IFERROR(MATCH($C$4&amp;$H30,Tabelle2[Codierung],0),0)&gt;0,VLOOKUP(H30,Tabelle1[[Ort]:[RK KLV C üD]],3,),VLOOKUP(H30,Tabelle1[[Ort]:[RK KLV C üD]],6)),"")</f>
        <v/>
      </c>
      <c r="P30" s="117" t="str">
        <f>IFERROR(IF(IFERROR(MATCH($C$4&amp;$H30,Tabelle2[Codierung],0),0)&gt;0,VLOOKUP(H30,Tabelle1[[Ort]:[RK KLV C üD]],4,),VLOOKUP(H30,Tabelle1[[Ort]:[RK KLV C üD]],7)),"")</f>
        <v/>
      </c>
      <c r="Q30" s="118" t="str">
        <f>IFERROR(tbl_WohnsitzSO[[#This Row],[KLV A]]*tbl_WohnsitzSO[[#This Row],[KLV A Ansatz]]/60,"")</f>
        <v/>
      </c>
      <c r="R30" s="118" t="str">
        <f>IFERROR(tbl_WohnsitzSO[[#This Row],[KLV B]]*tbl_WohnsitzSO[[#This Row],[KLV B Ansatz]]/60,"")</f>
        <v/>
      </c>
      <c r="S30" s="118" t="str">
        <f>IFERROR(tbl_WohnsitzSO[[#This Row],[KLV C]]*tbl_WohnsitzSO[[#This Row],[KLV C Ansatz]]/60,"")</f>
        <v/>
      </c>
      <c r="T30" s="118">
        <f>IFERROR(SUM(tbl_WohnsitzSO[[#This Row],[KLV A Kosten]:[KLV C Kosten]]),"")</f>
        <v>0</v>
      </c>
      <c r="U30" s="116">
        <f>COUNTIF($H$12:$H30,H30)</f>
        <v>0</v>
      </c>
      <c r="V30" s="194"/>
      <c r="W30" s="194"/>
    </row>
    <row r="31" spans="1:23" x14ac:dyDescent="0.2">
      <c r="A31" s="115">
        <v>20</v>
      </c>
      <c r="B31" s="189"/>
      <c r="C31" s="189"/>
      <c r="D31" s="190"/>
      <c r="E31" s="191"/>
      <c r="F31" s="190"/>
      <c r="G31" s="189"/>
      <c r="H31" s="188"/>
      <c r="I31" s="189"/>
      <c r="J31" s="189"/>
      <c r="K31" s="189"/>
      <c r="L31" s="189"/>
      <c r="M31" s="116">
        <f>SUM(tbl_WohnsitzSO[[#This Row],[KLV A]:[KLV C]])</f>
        <v>0</v>
      </c>
      <c r="N31" s="117" t="str">
        <f>IFERROR(IF(IFERROR(MATCH($C$4&amp;$H31,Tabelle2[Codierung],0),0)&gt;0,VLOOKUP(H31,Tabelle1[[Ort]:[RK KLV C üD]],2,),VLOOKUP(H31,Tabelle1[[Ort]:[RK KLV C üD]],5)),"")</f>
        <v/>
      </c>
      <c r="O31" s="117" t="str">
        <f>IFERROR(IF(IFERROR(MATCH($C$4&amp;$H31,Tabelle2[Codierung],0),0)&gt;0,VLOOKUP(H31,Tabelle1[[Ort]:[RK KLV C üD]],3,),VLOOKUP(H31,Tabelle1[[Ort]:[RK KLV C üD]],6)),"")</f>
        <v/>
      </c>
      <c r="P31" s="117" t="str">
        <f>IFERROR(IF(IFERROR(MATCH($C$4&amp;$H31,Tabelle2[Codierung],0),0)&gt;0,VLOOKUP(H31,Tabelle1[[Ort]:[RK KLV C üD]],4,),VLOOKUP(H31,Tabelle1[[Ort]:[RK KLV C üD]],7)),"")</f>
        <v/>
      </c>
      <c r="Q31" s="118" t="str">
        <f>IFERROR(tbl_WohnsitzSO[[#This Row],[KLV A]]*tbl_WohnsitzSO[[#This Row],[KLV A Ansatz]]/60,"")</f>
        <v/>
      </c>
      <c r="R31" s="118" t="str">
        <f>IFERROR(tbl_WohnsitzSO[[#This Row],[KLV B]]*tbl_WohnsitzSO[[#This Row],[KLV B Ansatz]]/60,"")</f>
        <v/>
      </c>
      <c r="S31" s="118" t="str">
        <f>IFERROR(tbl_WohnsitzSO[[#This Row],[KLV C]]*tbl_WohnsitzSO[[#This Row],[KLV C Ansatz]]/60,"")</f>
        <v/>
      </c>
      <c r="T31" s="118">
        <f>IFERROR(SUM(tbl_WohnsitzSO[[#This Row],[KLV A Kosten]:[KLV C Kosten]]),"")</f>
        <v>0</v>
      </c>
      <c r="U31" s="116">
        <f>COUNTIF($H$12:$H31,H31)</f>
        <v>0</v>
      </c>
      <c r="V31" s="194"/>
      <c r="W31" s="194"/>
    </row>
    <row r="32" spans="1:23" x14ac:dyDescent="0.2">
      <c r="A32" s="115">
        <v>21</v>
      </c>
      <c r="B32" s="189"/>
      <c r="C32" s="189"/>
      <c r="D32" s="190"/>
      <c r="E32" s="191"/>
      <c r="F32" s="190"/>
      <c r="G32" s="189"/>
      <c r="H32" s="188"/>
      <c r="I32" s="189"/>
      <c r="J32" s="189"/>
      <c r="K32" s="189"/>
      <c r="L32" s="189"/>
      <c r="M32" s="116">
        <f>SUM(tbl_WohnsitzSO[[#This Row],[KLV A]:[KLV C]])</f>
        <v>0</v>
      </c>
      <c r="N32" s="117" t="str">
        <f>IFERROR(IF(IFERROR(MATCH($C$4&amp;$H32,Tabelle2[Codierung],0),0)&gt;0,VLOOKUP(H32,Tabelle1[[Ort]:[RK KLV C üD]],2,),VLOOKUP(H32,Tabelle1[[Ort]:[RK KLV C üD]],5)),"")</f>
        <v/>
      </c>
      <c r="O32" s="117" t="str">
        <f>IFERROR(IF(IFERROR(MATCH($C$4&amp;$H32,Tabelle2[Codierung],0),0)&gt;0,VLOOKUP(H32,Tabelle1[[Ort]:[RK KLV C üD]],3,),VLOOKUP(H32,Tabelle1[[Ort]:[RK KLV C üD]],6)),"")</f>
        <v/>
      </c>
      <c r="P32" s="117" t="str">
        <f>IFERROR(IF(IFERROR(MATCH($C$4&amp;$H32,Tabelle2[Codierung],0),0)&gt;0,VLOOKUP(H32,Tabelle1[[Ort]:[RK KLV C üD]],4,),VLOOKUP(H32,Tabelle1[[Ort]:[RK KLV C üD]],7)),"")</f>
        <v/>
      </c>
      <c r="Q32" s="118" t="str">
        <f>IFERROR(tbl_WohnsitzSO[[#This Row],[KLV A]]*tbl_WohnsitzSO[[#This Row],[KLV A Ansatz]]/60,"")</f>
        <v/>
      </c>
      <c r="R32" s="118" t="str">
        <f>IFERROR(tbl_WohnsitzSO[[#This Row],[KLV B]]*tbl_WohnsitzSO[[#This Row],[KLV B Ansatz]]/60,"")</f>
        <v/>
      </c>
      <c r="S32" s="118" t="str">
        <f>IFERROR(tbl_WohnsitzSO[[#This Row],[KLV C]]*tbl_WohnsitzSO[[#This Row],[KLV C Ansatz]]/60,"")</f>
        <v/>
      </c>
      <c r="T32" s="118">
        <f>IFERROR(SUM(tbl_WohnsitzSO[[#This Row],[KLV A Kosten]:[KLV C Kosten]]),"")</f>
        <v>0</v>
      </c>
      <c r="U32" s="116">
        <f>COUNTIF($H$12:$H32,H32)</f>
        <v>0</v>
      </c>
      <c r="V32" s="194"/>
      <c r="W32" s="194"/>
    </row>
    <row r="33" spans="1:23" x14ac:dyDescent="0.2">
      <c r="A33" s="115">
        <v>22</v>
      </c>
      <c r="B33" s="189"/>
      <c r="C33" s="189"/>
      <c r="D33" s="190"/>
      <c r="E33" s="191"/>
      <c r="F33" s="190"/>
      <c r="G33" s="189"/>
      <c r="H33" s="188"/>
      <c r="I33" s="189"/>
      <c r="J33" s="189"/>
      <c r="K33" s="189"/>
      <c r="L33" s="189"/>
      <c r="M33" s="116">
        <f>SUM(tbl_WohnsitzSO[[#This Row],[KLV A]:[KLV C]])</f>
        <v>0</v>
      </c>
      <c r="N33" s="117" t="str">
        <f>IFERROR(IF(IFERROR(MATCH($C$4&amp;$H33,Tabelle2[Codierung],0),0)&gt;0,VLOOKUP(H33,Tabelle1[[Ort]:[RK KLV C üD]],2,),VLOOKUP(H33,Tabelle1[[Ort]:[RK KLV C üD]],5)),"")</f>
        <v/>
      </c>
      <c r="O33" s="117" t="str">
        <f>IFERROR(IF(IFERROR(MATCH($C$4&amp;$H33,Tabelle2[Codierung],0),0)&gt;0,VLOOKUP(H33,Tabelle1[[Ort]:[RK KLV C üD]],3,),VLOOKUP(H33,Tabelle1[[Ort]:[RK KLV C üD]],6)),"")</f>
        <v/>
      </c>
      <c r="P33" s="117" t="str">
        <f>IFERROR(IF(IFERROR(MATCH($C$4&amp;$H33,Tabelle2[Codierung],0),0)&gt;0,VLOOKUP(H33,Tabelle1[[Ort]:[RK KLV C üD]],4,),VLOOKUP(H33,Tabelle1[[Ort]:[RK KLV C üD]],7)),"")</f>
        <v/>
      </c>
      <c r="Q33" s="118" t="str">
        <f>IFERROR(tbl_WohnsitzSO[[#This Row],[KLV A]]*tbl_WohnsitzSO[[#This Row],[KLV A Ansatz]]/60,"")</f>
        <v/>
      </c>
      <c r="R33" s="118" t="str">
        <f>IFERROR(tbl_WohnsitzSO[[#This Row],[KLV B]]*tbl_WohnsitzSO[[#This Row],[KLV B Ansatz]]/60,"")</f>
        <v/>
      </c>
      <c r="S33" s="118" t="str">
        <f>IFERROR(tbl_WohnsitzSO[[#This Row],[KLV C]]*tbl_WohnsitzSO[[#This Row],[KLV C Ansatz]]/60,"")</f>
        <v/>
      </c>
      <c r="T33" s="118">
        <f>IFERROR(SUM(tbl_WohnsitzSO[[#This Row],[KLV A Kosten]:[KLV C Kosten]]),"")</f>
        <v>0</v>
      </c>
      <c r="U33" s="116">
        <f>COUNTIF($H$12:$H33,H33)</f>
        <v>0</v>
      </c>
      <c r="V33" s="194"/>
      <c r="W33" s="194"/>
    </row>
    <row r="34" spans="1:23" x14ac:dyDescent="0.2">
      <c r="A34" s="115">
        <v>23</v>
      </c>
      <c r="B34" s="189"/>
      <c r="C34" s="189"/>
      <c r="D34" s="190"/>
      <c r="E34" s="191"/>
      <c r="F34" s="190"/>
      <c r="G34" s="189"/>
      <c r="H34" s="188"/>
      <c r="I34" s="189"/>
      <c r="J34" s="189"/>
      <c r="K34" s="189"/>
      <c r="L34" s="189"/>
      <c r="M34" s="116">
        <f>SUM(tbl_WohnsitzSO[[#This Row],[KLV A]:[KLV C]])</f>
        <v>0</v>
      </c>
      <c r="N34" s="117" t="str">
        <f>IFERROR(IF(IFERROR(MATCH($C$4&amp;$H34,Tabelle2[Codierung],0),0)&gt;0,VLOOKUP(H34,Tabelle1[[Ort]:[RK KLV C üD]],2,),VLOOKUP(H34,Tabelle1[[Ort]:[RK KLV C üD]],5)),"")</f>
        <v/>
      </c>
      <c r="O34" s="117" t="str">
        <f>IFERROR(IF(IFERROR(MATCH($C$4&amp;$H34,Tabelle2[Codierung],0),0)&gt;0,VLOOKUP(H34,Tabelle1[[Ort]:[RK KLV C üD]],3,),VLOOKUP(H34,Tabelle1[[Ort]:[RK KLV C üD]],6)),"")</f>
        <v/>
      </c>
      <c r="P34" s="117" t="str">
        <f>IFERROR(IF(IFERROR(MATCH($C$4&amp;$H34,Tabelle2[Codierung],0),0)&gt;0,VLOOKUP(H34,Tabelle1[[Ort]:[RK KLV C üD]],4,),VLOOKUP(H34,Tabelle1[[Ort]:[RK KLV C üD]],7)),"")</f>
        <v/>
      </c>
      <c r="Q34" s="118" t="str">
        <f>IFERROR(tbl_WohnsitzSO[[#This Row],[KLV A]]*tbl_WohnsitzSO[[#This Row],[KLV A Ansatz]]/60,"")</f>
        <v/>
      </c>
      <c r="R34" s="118" t="str">
        <f>IFERROR(tbl_WohnsitzSO[[#This Row],[KLV B]]*tbl_WohnsitzSO[[#This Row],[KLV B Ansatz]]/60,"")</f>
        <v/>
      </c>
      <c r="S34" s="118" t="str">
        <f>IFERROR(tbl_WohnsitzSO[[#This Row],[KLV C]]*tbl_WohnsitzSO[[#This Row],[KLV C Ansatz]]/60,"")</f>
        <v/>
      </c>
      <c r="T34" s="118">
        <f>IFERROR(SUM(tbl_WohnsitzSO[[#This Row],[KLV A Kosten]:[KLV C Kosten]]),"")</f>
        <v>0</v>
      </c>
      <c r="U34" s="116">
        <f>COUNTIF($H$12:$H34,H34)</f>
        <v>0</v>
      </c>
      <c r="V34" s="194"/>
      <c r="W34" s="194"/>
    </row>
    <row r="35" spans="1:23" x14ac:dyDescent="0.2">
      <c r="A35" s="115">
        <v>24</v>
      </c>
      <c r="B35" s="189"/>
      <c r="C35" s="189"/>
      <c r="D35" s="190"/>
      <c r="E35" s="191"/>
      <c r="F35" s="190"/>
      <c r="G35" s="189"/>
      <c r="H35" s="188"/>
      <c r="I35" s="189"/>
      <c r="J35" s="189"/>
      <c r="K35" s="189"/>
      <c r="L35" s="189"/>
      <c r="M35" s="116">
        <f>SUM(tbl_WohnsitzSO[[#This Row],[KLV A]:[KLV C]])</f>
        <v>0</v>
      </c>
      <c r="N35" s="117" t="str">
        <f>IFERROR(IF(IFERROR(MATCH($C$4&amp;$H35,Tabelle2[Codierung],0),0)&gt;0,VLOOKUP(H35,Tabelle1[[Ort]:[RK KLV C üD]],2,),VLOOKUP(H35,Tabelle1[[Ort]:[RK KLV C üD]],5)),"")</f>
        <v/>
      </c>
      <c r="O35" s="117" t="str">
        <f>IFERROR(IF(IFERROR(MATCH($C$4&amp;$H35,Tabelle2[Codierung],0),0)&gt;0,VLOOKUP(H35,Tabelle1[[Ort]:[RK KLV C üD]],3,),VLOOKUP(H35,Tabelle1[[Ort]:[RK KLV C üD]],6)),"")</f>
        <v/>
      </c>
      <c r="P35" s="117" t="str">
        <f>IFERROR(IF(IFERROR(MATCH($C$4&amp;$H35,Tabelle2[Codierung],0),0)&gt;0,VLOOKUP(H35,Tabelle1[[Ort]:[RK KLV C üD]],4,),VLOOKUP(H35,Tabelle1[[Ort]:[RK KLV C üD]],7)),"")</f>
        <v/>
      </c>
      <c r="Q35" s="118" t="str">
        <f>IFERROR(tbl_WohnsitzSO[[#This Row],[KLV A]]*tbl_WohnsitzSO[[#This Row],[KLV A Ansatz]]/60,"")</f>
        <v/>
      </c>
      <c r="R35" s="118" t="str">
        <f>IFERROR(tbl_WohnsitzSO[[#This Row],[KLV B]]*tbl_WohnsitzSO[[#This Row],[KLV B Ansatz]]/60,"")</f>
        <v/>
      </c>
      <c r="S35" s="118" t="str">
        <f>IFERROR(tbl_WohnsitzSO[[#This Row],[KLV C]]*tbl_WohnsitzSO[[#This Row],[KLV C Ansatz]]/60,"")</f>
        <v/>
      </c>
      <c r="T35" s="118">
        <f>IFERROR(SUM(tbl_WohnsitzSO[[#This Row],[KLV A Kosten]:[KLV C Kosten]]),"")</f>
        <v>0</v>
      </c>
      <c r="U35" s="116">
        <f>COUNTIF($H$12:$H35,H35)</f>
        <v>0</v>
      </c>
      <c r="V35" s="194"/>
      <c r="W35" s="194"/>
    </row>
    <row r="36" spans="1:23" x14ac:dyDescent="0.2">
      <c r="A36" s="115">
        <v>25</v>
      </c>
      <c r="B36" s="189"/>
      <c r="C36" s="189"/>
      <c r="D36" s="190"/>
      <c r="E36" s="191"/>
      <c r="F36" s="190"/>
      <c r="G36" s="189"/>
      <c r="H36" s="188"/>
      <c r="I36" s="189"/>
      <c r="J36" s="189"/>
      <c r="K36" s="189"/>
      <c r="L36" s="189"/>
      <c r="M36" s="116">
        <f>SUM(tbl_WohnsitzSO[[#This Row],[KLV A]:[KLV C]])</f>
        <v>0</v>
      </c>
      <c r="N36" s="117" t="str">
        <f>IFERROR(IF(IFERROR(MATCH($C$4&amp;$H36,Tabelle2[Codierung],0),0)&gt;0,VLOOKUP(H36,Tabelle1[[Ort]:[RK KLV C üD]],2,),VLOOKUP(H36,Tabelle1[[Ort]:[RK KLV C üD]],5)),"")</f>
        <v/>
      </c>
      <c r="O36" s="117" t="str">
        <f>IFERROR(IF(IFERROR(MATCH($C$4&amp;$H36,Tabelle2[Codierung],0),0)&gt;0,VLOOKUP(H36,Tabelle1[[Ort]:[RK KLV C üD]],3,),VLOOKUP(H36,Tabelle1[[Ort]:[RK KLV C üD]],6)),"")</f>
        <v/>
      </c>
      <c r="P36" s="117" t="str">
        <f>IFERROR(IF(IFERROR(MATCH($C$4&amp;$H36,Tabelle2[Codierung],0),0)&gt;0,VLOOKUP(H36,Tabelle1[[Ort]:[RK KLV C üD]],4,),VLOOKUP(H36,Tabelle1[[Ort]:[RK KLV C üD]],7)),"")</f>
        <v/>
      </c>
      <c r="Q36" s="118" t="str">
        <f>IFERROR(tbl_WohnsitzSO[[#This Row],[KLV A]]*tbl_WohnsitzSO[[#This Row],[KLV A Ansatz]]/60,"")</f>
        <v/>
      </c>
      <c r="R36" s="118" t="str">
        <f>IFERROR(tbl_WohnsitzSO[[#This Row],[KLV B]]*tbl_WohnsitzSO[[#This Row],[KLV B Ansatz]]/60,"")</f>
        <v/>
      </c>
      <c r="S36" s="118" t="str">
        <f>IFERROR(tbl_WohnsitzSO[[#This Row],[KLV C]]*tbl_WohnsitzSO[[#This Row],[KLV C Ansatz]]/60,"")</f>
        <v/>
      </c>
      <c r="T36" s="118">
        <f>IFERROR(SUM(tbl_WohnsitzSO[[#This Row],[KLV A Kosten]:[KLV C Kosten]]),"")</f>
        <v>0</v>
      </c>
      <c r="U36" s="116">
        <f>COUNTIF($H$12:$H36,H36)</f>
        <v>0</v>
      </c>
      <c r="V36" s="194"/>
      <c r="W36" s="194"/>
    </row>
    <row r="37" spans="1:23" x14ac:dyDescent="0.2">
      <c r="A37" s="115">
        <v>26</v>
      </c>
      <c r="B37" s="189"/>
      <c r="C37" s="189"/>
      <c r="D37" s="190"/>
      <c r="E37" s="191"/>
      <c r="F37" s="190"/>
      <c r="G37" s="189"/>
      <c r="H37" s="188"/>
      <c r="I37" s="189"/>
      <c r="J37" s="189"/>
      <c r="K37" s="189"/>
      <c r="L37" s="189"/>
      <c r="M37" s="116">
        <f>SUM(tbl_WohnsitzSO[[#This Row],[KLV A]:[KLV C]])</f>
        <v>0</v>
      </c>
      <c r="N37" s="117" t="str">
        <f>IFERROR(IF(IFERROR(MATCH($C$4&amp;$H37,Tabelle2[Codierung],0),0)&gt;0,VLOOKUP(H37,Tabelle1[[Ort]:[RK KLV C üD]],2,),VLOOKUP(H37,Tabelle1[[Ort]:[RK KLV C üD]],5)),"")</f>
        <v/>
      </c>
      <c r="O37" s="117" t="str">
        <f>IFERROR(IF(IFERROR(MATCH($C$4&amp;$H37,Tabelle2[Codierung],0),0)&gt;0,VLOOKUP(H37,Tabelle1[[Ort]:[RK KLV C üD]],3,),VLOOKUP(H37,Tabelle1[[Ort]:[RK KLV C üD]],6)),"")</f>
        <v/>
      </c>
      <c r="P37" s="117" t="str">
        <f>IFERROR(IF(IFERROR(MATCH($C$4&amp;$H37,Tabelle2[Codierung],0),0)&gt;0,VLOOKUP(H37,Tabelle1[[Ort]:[RK KLV C üD]],4,),VLOOKUP(H37,Tabelle1[[Ort]:[RK KLV C üD]],7)),"")</f>
        <v/>
      </c>
      <c r="Q37" s="118" t="str">
        <f>IFERROR(tbl_WohnsitzSO[[#This Row],[KLV A]]*tbl_WohnsitzSO[[#This Row],[KLV A Ansatz]]/60,"")</f>
        <v/>
      </c>
      <c r="R37" s="118" t="str">
        <f>IFERROR(tbl_WohnsitzSO[[#This Row],[KLV B]]*tbl_WohnsitzSO[[#This Row],[KLV B Ansatz]]/60,"")</f>
        <v/>
      </c>
      <c r="S37" s="118" t="str">
        <f>IFERROR(tbl_WohnsitzSO[[#This Row],[KLV C]]*tbl_WohnsitzSO[[#This Row],[KLV C Ansatz]]/60,"")</f>
        <v/>
      </c>
      <c r="T37" s="118">
        <f>IFERROR(SUM(tbl_WohnsitzSO[[#This Row],[KLV A Kosten]:[KLV C Kosten]]),"")</f>
        <v>0</v>
      </c>
      <c r="U37" s="116">
        <f>COUNTIF($H$12:$H37,H37)</f>
        <v>0</v>
      </c>
      <c r="V37" s="194"/>
      <c r="W37" s="194"/>
    </row>
    <row r="38" spans="1:23" x14ac:dyDescent="0.2">
      <c r="A38" s="115">
        <v>27</v>
      </c>
      <c r="B38" s="189"/>
      <c r="C38" s="189"/>
      <c r="D38" s="190"/>
      <c r="E38" s="191"/>
      <c r="F38" s="190"/>
      <c r="G38" s="189"/>
      <c r="H38" s="188"/>
      <c r="I38" s="189"/>
      <c r="J38" s="189"/>
      <c r="K38" s="189"/>
      <c r="L38" s="189"/>
      <c r="M38" s="116">
        <f>SUM(tbl_WohnsitzSO[[#This Row],[KLV A]:[KLV C]])</f>
        <v>0</v>
      </c>
      <c r="N38" s="117" t="str">
        <f>IFERROR(IF(IFERROR(MATCH($C$4&amp;$H38,Tabelle2[Codierung],0),0)&gt;0,VLOOKUP(H38,Tabelle1[[Ort]:[RK KLV C üD]],2,),VLOOKUP(H38,Tabelle1[[Ort]:[RK KLV C üD]],5)),"")</f>
        <v/>
      </c>
      <c r="O38" s="117" t="str">
        <f>IFERROR(IF(IFERROR(MATCH($C$4&amp;$H38,Tabelle2[Codierung],0),0)&gt;0,VLOOKUP(H38,Tabelle1[[Ort]:[RK KLV C üD]],3,),VLOOKUP(H38,Tabelle1[[Ort]:[RK KLV C üD]],6)),"")</f>
        <v/>
      </c>
      <c r="P38" s="117" t="str">
        <f>IFERROR(IF(IFERROR(MATCH($C$4&amp;$H38,Tabelle2[Codierung],0),0)&gt;0,VLOOKUP(H38,Tabelle1[[Ort]:[RK KLV C üD]],4,),VLOOKUP(H38,Tabelle1[[Ort]:[RK KLV C üD]],7)),"")</f>
        <v/>
      </c>
      <c r="Q38" s="118" t="str">
        <f>IFERROR(tbl_WohnsitzSO[[#This Row],[KLV A]]*tbl_WohnsitzSO[[#This Row],[KLV A Ansatz]]/60,"")</f>
        <v/>
      </c>
      <c r="R38" s="118" t="str">
        <f>IFERROR(tbl_WohnsitzSO[[#This Row],[KLV B]]*tbl_WohnsitzSO[[#This Row],[KLV B Ansatz]]/60,"")</f>
        <v/>
      </c>
      <c r="S38" s="118" t="str">
        <f>IFERROR(tbl_WohnsitzSO[[#This Row],[KLV C]]*tbl_WohnsitzSO[[#This Row],[KLV C Ansatz]]/60,"")</f>
        <v/>
      </c>
      <c r="T38" s="118">
        <f>IFERROR(SUM(tbl_WohnsitzSO[[#This Row],[KLV A Kosten]:[KLV C Kosten]]),"")</f>
        <v>0</v>
      </c>
      <c r="U38" s="116">
        <f>COUNTIF($H$12:$H38,H38)</f>
        <v>0</v>
      </c>
      <c r="V38" s="194"/>
      <c r="W38" s="194"/>
    </row>
    <row r="39" spans="1:23" x14ac:dyDescent="0.2">
      <c r="A39" s="115">
        <v>28</v>
      </c>
      <c r="B39" s="189"/>
      <c r="C39" s="189"/>
      <c r="D39" s="190"/>
      <c r="E39" s="191"/>
      <c r="F39" s="190"/>
      <c r="G39" s="189"/>
      <c r="H39" s="188"/>
      <c r="I39" s="189"/>
      <c r="J39" s="189"/>
      <c r="K39" s="189"/>
      <c r="L39" s="189"/>
      <c r="M39" s="116">
        <f>SUM(tbl_WohnsitzSO[[#This Row],[KLV A]:[KLV C]])</f>
        <v>0</v>
      </c>
      <c r="N39" s="117" t="str">
        <f>IFERROR(IF(IFERROR(MATCH($C$4&amp;$H39,Tabelle2[Codierung],0),0)&gt;0,VLOOKUP(H39,Tabelle1[[Ort]:[RK KLV C üD]],2,),VLOOKUP(H39,Tabelle1[[Ort]:[RK KLV C üD]],5)),"")</f>
        <v/>
      </c>
      <c r="O39" s="117" t="str">
        <f>IFERROR(IF(IFERROR(MATCH($C$4&amp;$H39,Tabelle2[Codierung],0),0)&gt;0,VLOOKUP(H39,Tabelle1[[Ort]:[RK KLV C üD]],3,),VLOOKUP(H39,Tabelle1[[Ort]:[RK KLV C üD]],6)),"")</f>
        <v/>
      </c>
      <c r="P39" s="117" t="str">
        <f>IFERROR(IF(IFERROR(MATCH($C$4&amp;$H39,Tabelle2[Codierung],0),0)&gt;0,VLOOKUP(H39,Tabelle1[[Ort]:[RK KLV C üD]],4,),VLOOKUP(H39,Tabelle1[[Ort]:[RK KLV C üD]],7)),"")</f>
        <v/>
      </c>
      <c r="Q39" s="118" t="str">
        <f>IFERROR(tbl_WohnsitzSO[[#This Row],[KLV A]]*tbl_WohnsitzSO[[#This Row],[KLV A Ansatz]]/60,"")</f>
        <v/>
      </c>
      <c r="R39" s="118" t="str">
        <f>IFERROR(tbl_WohnsitzSO[[#This Row],[KLV B]]*tbl_WohnsitzSO[[#This Row],[KLV B Ansatz]]/60,"")</f>
        <v/>
      </c>
      <c r="S39" s="118" t="str">
        <f>IFERROR(tbl_WohnsitzSO[[#This Row],[KLV C]]*tbl_WohnsitzSO[[#This Row],[KLV C Ansatz]]/60,"")</f>
        <v/>
      </c>
      <c r="T39" s="118">
        <f>IFERROR(SUM(tbl_WohnsitzSO[[#This Row],[KLV A Kosten]:[KLV C Kosten]]),"")</f>
        <v>0</v>
      </c>
      <c r="U39" s="116">
        <f>COUNTIF($H$12:$H39,H39)</f>
        <v>0</v>
      </c>
      <c r="V39" s="194"/>
      <c r="W39" s="194"/>
    </row>
    <row r="40" spans="1:23" x14ac:dyDescent="0.2">
      <c r="A40" s="115">
        <v>29</v>
      </c>
      <c r="B40" s="189"/>
      <c r="C40" s="189"/>
      <c r="D40" s="190"/>
      <c r="E40" s="191"/>
      <c r="F40" s="190"/>
      <c r="G40" s="189"/>
      <c r="H40" s="188"/>
      <c r="I40" s="189"/>
      <c r="J40" s="189"/>
      <c r="K40" s="189"/>
      <c r="L40" s="189"/>
      <c r="M40" s="116">
        <f>SUM(tbl_WohnsitzSO[[#This Row],[KLV A]:[KLV C]])</f>
        <v>0</v>
      </c>
      <c r="N40" s="117" t="str">
        <f>IFERROR(IF(IFERROR(MATCH($C$4&amp;$H40,Tabelle2[Codierung],0),0)&gt;0,VLOOKUP(H40,Tabelle1[[Ort]:[RK KLV C üD]],2,),VLOOKUP(H40,Tabelle1[[Ort]:[RK KLV C üD]],5)),"")</f>
        <v/>
      </c>
      <c r="O40" s="117" t="str">
        <f>IFERROR(IF(IFERROR(MATCH($C$4&amp;$H40,Tabelle2[Codierung],0),0)&gt;0,VLOOKUP(H40,Tabelle1[[Ort]:[RK KLV C üD]],3,),VLOOKUP(H40,Tabelle1[[Ort]:[RK KLV C üD]],6)),"")</f>
        <v/>
      </c>
      <c r="P40" s="117" t="str">
        <f>IFERROR(IF(IFERROR(MATCH($C$4&amp;$H40,Tabelle2[Codierung],0),0)&gt;0,VLOOKUP(H40,Tabelle1[[Ort]:[RK KLV C üD]],4,),VLOOKUP(H40,Tabelle1[[Ort]:[RK KLV C üD]],7)),"")</f>
        <v/>
      </c>
      <c r="Q40" s="118" t="str">
        <f>IFERROR(tbl_WohnsitzSO[[#This Row],[KLV A]]*tbl_WohnsitzSO[[#This Row],[KLV A Ansatz]]/60,"")</f>
        <v/>
      </c>
      <c r="R40" s="118" t="str">
        <f>IFERROR(tbl_WohnsitzSO[[#This Row],[KLV B]]*tbl_WohnsitzSO[[#This Row],[KLV B Ansatz]]/60,"")</f>
        <v/>
      </c>
      <c r="S40" s="118" t="str">
        <f>IFERROR(tbl_WohnsitzSO[[#This Row],[KLV C]]*tbl_WohnsitzSO[[#This Row],[KLV C Ansatz]]/60,"")</f>
        <v/>
      </c>
      <c r="T40" s="118">
        <f>IFERROR(SUM(tbl_WohnsitzSO[[#This Row],[KLV A Kosten]:[KLV C Kosten]]),"")</f>
        <v>0</v>
      </c>
      <c r="U40" s="116">
        <f>COUNTIF($H$12:$H40,H40)</f>
        <v>0</v>
      </c>
      <c r="V40" s="194"/>
      <c r="W40" s="194"/>
    </row>
    <row r="41" spans="1:23" x14ac:dyDescent="0.2">
      <c r="A41" s="115">
        <v>30</v>
      </c>
      <c r="B41" s="189"/>
      <c r="C41" s="189"/>
      <c r="D41" s="190"/>
      <c r="E41" s="191"/>
      <c r="F41" s="190"/>
      <c r="G41" s="189"/>
      <c r="H41" s="188"/>
      <c r="I41" s="189"/>
      <c r="J41" s="189"/>
      <c r="K41" s="189"/>
      <c r="L41" s="189"/>
      <c r="M41" s="116">
        <f>SUM(tbl_WohnsitzSO[[#This Row],[KLV A]:[KLV C]])</f>
        <v>0</v>
      </c>
      <c r="N41" s="117" t="str">
        <f>IFERROR(IF(IFERROR(MATCH($C$4&amp;$H41,Tabelle2[Codierung],0),0)&gt;0,VLOOKUP(H41,Tabelle1[[Ort]:[RK KLV C üD]],2,),VLOOKUP(H41,Tabelle1[[Ort]:[RK KLV C üD]],5)),"")</f>
        <v/>
      </c>
      <c r="O41" s="117" t="str">
        <f>IFERROR(IF(IFERROR(MATCH($C$4&amp;$H41,Tabelle2[Codierung],0),0)&gt;0,VLOOKUP(H41,Tabelle1[[Ort]:[RK KLV C üD]],3,),VLOOKUP(H41,Tabelle1[[Ort]:[RK KLV C üD]],6)),"")</f>
        <v/>
      </c>
      <c r="P41" s="117" t="str">
        <f>IFERROR(IF(IFERROR(MATCH($C$4&amp;$H41,Tabelle2[Codierung],0),0)&gt;0,VLOOKUP(H41,Tabelle1[[Ort]:[RK KLV C üD]],4,),VLOOKUP(H41,Tabelle1[[Ort]:[RK KLV C üD]],7)),"")</f>
        <v/>
      </c>
      <c r="Q41" s="118" t="str">
        <f>IFERROR(tbl_WohnsitzSO[[#This Row],[KLV A]]*tbl_WohnsitzSO[[#This Row],[KLV A Ansatz]]/60,"")</f>
        <v/>
      </c>
      <c r="R41" s="118" t="str">
        <f>IFERROR(tbl_WohnsitzSO[[#This Row],[KLV B]]*tbl_WohnsitzSO[[#This Row],[KLV B Ansatz]]/60,"")</f>
        <v/>
      </c>
      <c r="S41" s="118" t="str">
        <f>IFERROR(tbl_WohnsitzSO[[#This Row],[KLV C]]*tbl_WohnsitzSO[[#This Row],[KLV C Ansatz]]/60,"")</f>
        <v/>
      </c>
      <c r="T41" s="118">
        <f>IFERROR(SUM(tbl_WohnsitzSO[[#This Row],[KLV A Kosten]:[KLV C Kosten]]),"")</f>
        <v>0</v>
      </c>
      <c r="U41" s="116">
        <f>COUNTIF($H$12:$H41,H41)</f>
        <v>0</v>
      </c>
      <c r="V41" s="194"/>
      <c r="W41" s="194"/>
    </row>
    <row r="42" spans="1:23" x14ac:dyDescent="0.2">
      <c r="A42" s="115">
        <v>31</v>
      </c>
      <c r="B42" s="189"/>
      <c r="C42" s="189"/>
      <c r="D42" s="190"/>
      <c r="E42" s="191"/>
      <c r="F42" s="190"/>
      <c r="G42" s="189"/>
      <c r="H42" s="188"/>
      <c r="I42" s="189"/>
      <c r="J42" s="189"/>
      <c r="K42" s="189"/>
      <c r="L42" s="189"/>
      <c r="M42" s="116">
        <f>SUM(tbl_WohnsitzSO[[#This Row],[KLV A]:[KLV C]])</f>
        <v>0</v>
      </c>
      <c r="N42" s="117" t="str">
        <f>IFERROR(IF(IFERROR(MATCH($C$4&amp;$H42,Tabelle2[Codierung],0),0)&gt;0,VLOOKUP(H42,Tabelle1[[Ort]:[RK KLV C üD]],2,),VLOOKUP(H42,Tabelle1[[Ort]:[RK KLV C üD]],5)),"")</f>
        <v/>
      </c>
      <c r="O42" s="117" t="str">
        <f>IFERROR(IF(IFERROR(MATCH($C$4&amp;$H42,Tabelle2[Codierung],0),0)&gt;0,VLOOKUP(H42,Tabelle1[[Ort]:[RK KLV C üD]],3,),VLOOKUP(H42,Tabelle1[[Ort]:[RK KLV C üD]],6)),"")</f>
        <v/>
      </c>
      <c r="P42" s="117" t="str">
        <f>IFERROR(IF(IFERROR(MATCH($C$4&amp;$H42,Tabelle2[Codierung],0),0)&gt;0,VLOOKUP(H42,Tabelle1[[Ort]:[RK KLV C üD]],4,),VLOOKUP(H42,Tabelle1[[Ort]:[RK KLV C üD]],7)),"")</f>
        <v/>
      </c>
      <c r="Q42" s="118" t="str">
        <f>IFERROR(tbl_WohnsitzSO[[#This Row],[KLV A]]*tbl_WohnsitzSO[[#This Row],[KLV A Ansatz]]/60,"")</f>
        <v/>
      </c>
      <c r="R42" s="118" t="str">
        <f>IFERROR(tbl_WohnsitzSO[[#This Row],[KLV B]]*tbl_WohnsitzSO[[#This Row],[KLV B Ansatz]]/60,"")</f>
        <v/>
      </c>
      <c r="S42" s="118" t="str">
        <f>IFERROR(tbl_WohnsitzSO[[#This Row],[KLV C]]*tbl_WohnsitzSO[[#This Row],[KLV C Ansatz]]/60,"")</f>
        <v/>
      </c>
      <c r="T42" s="118">
        <f>IFERROR(SUM(tbl_WohnsitzSO[[#This Row],[KLV A Kosten]:[KLV C Kosten]]),"")</f>
        <v>0</v>
      </c>
      <c r="U42" s="116">
        <f>COUNTIF($H$12:$H42,H42)</f>
        <v>0</v>
      </c>
      <c r="V42" s="194"/>
      <c r="W42" s="194"/>
    </row>
    <row r="43" spans="1:23" x14ac:dyDescent="0.2">
      <c r="A43" s="115">
        <v>32</v>
      </c>
      <c r="B43" s="189"/>
      <c r="C43" s="189"/>
      <c r="D43" s="190"/>
      <c r="E43" s="191"/>
      <c r="F43" s="190"/>
      <c r="G43" s="189"/>
      <c r="H43" s="188"/>
      <c r="I43" s="189"/>
      <c r="J43" s="189"/>
      <c r="K43" s="189"/>
      <c r="L43" s="189"/>
      <c r="M43" s="116">
        <f>SUM(tbl_WohnsitzSO[[#This Row],[KLV A]:[KLV C]])</f>
        <v>0</v>
      </c>
      <c r="N43" s="117" t="str">
        <f>IFERROR(IF(IFERROR(MATCH($C$4&amp;$H43,Tabelle2[Codierung],0),0)&gt;0,VLOOKUP(H43,Tabelle1[[Ort]:[RK KLV C üD]],2,),VLOOKUP(H43,Tabelle1[[Ort]:[RK KLV C üD]],5)),"")</f>
        <v/>
      </c>
      <c r="O43" s="117" t="str">
        <f>IFERROR(IF(IFERROR(MATCH($C$4&amp;$H43,Tabelle2[Codierung],0),0)&gt;0,VLOOKUP(H43,Tabelle1[[Ort]:[RK KLV C üD]],3,),VLOOKUP(H43,Tabelle1[[Ort]:[RK KLV C üD]],6)),"")</f>
        <v/>
      </c>
      <c r="P43" s="117" t="str">
        <f>IFERROR(IF(IFERROR(MATCH($C$4&amp;$H43,Tabelle2[Codierung],0),0)&gt;0,VLOOKUP(H43,Tabelle1[[Ort]:[RK KLV C üD]],4,),VLOOKUP(H43,Tabelle1[[Ort]:[RK KLV C üD]],7)),"")</f>
        <v/>
      </c>
      <c r="Q43" s="118" t="str">
        <f>IFERROR(tbl_WohnsitzSO[[#This Row],[KLV A]]*tbl_WohnsitzSO[[#This Row],[KLV A Ansatz]]/60,"")</f>
        <v/>
      </c>
      <c r="R43" s="118" t="str">
        <f>IFERROR(tbl_WohnsitzSO[[#This Row],[KLV B]]*tbl_WohnsitzSO[[#This Row],[KLV B Ansatz]]/60,"")</f>
        <v/>
      </c>
      <c r="S43" s="118" t="str">
        <f>IFERROR(tbl_WohnsitzSO[[#This Row],[KLV C]]*tbl_WohnsitzSO[[#This Row],[KLV C Ansatz]]/60,"")</f>
        <v/>
      </c>
      <c r="T43" s="118">
        <f>IFERROR(SUM(tbl_WohnsitzSO[[#This Row],[KLV A Kosten]:[KLV C Kosten]]),"")</f>
        <v>0</v>
      </c>
      <c r="U43" s="116">
        <f>COUNTIF($H$12:$H43,H43)</f>
        <v>0</v>
      </c>
      <c r="V43" s="194"/>
      <c r="W43" s="194"/>
    </row>
    <row r="44" spans="1:23" x14ac:dyDescent="0.2">
      <c r="A44" s="115">
        <v>33</v>
      </c>
      <c r="B44" s="189"/>
      <c r="C44" s="189"/>
      <c r="D44" s="190"/>
      <c r="E44" s="191"/>
      <c r="F44" s="190"/>
      <c r="G44" s="189"/>
      <c r="H44" s="188"/>
      <c r="I44" s="189"/>
      <c r="J44" s="189"/>
      <c r="K44" s="189"/>
      <c r="L44" s="189"/>
      <c r="M44" s="116">
        <f>SUM(tbl_WohnsitzSO[[#This Row],[KLV A]:[KLV C]])</f>
        <v>0</v>
      </c>
      <c r="N44" s="117" t="str">
        <f>IFERROR(IF(IFERROR(MATCH($C$4&amp;$H44,Tabelle2[Codierung],0),0)&gt;0,VLOOKUP(H44,Tabelle1[[Ort]:[RK KLV C üD]],2,),VLOOKUP(H44,Tabelle1[[Ort]:[RK KLV C üD]],5)),"")</f>
        <v/>
      </c>
      <c r="O44" s="117" t="str">
        <f>IFERROR(IF(IFERROR(MATCH($C$4&amp;$H44,Tabelle2[Codierung],0),0)&gt;0,VLOOKUP(H44,Tabelle1[[Ort]:[RK KLV C üD]],3,),VLOOKUP(H44,Tabelle1[[Ort]:[RK KLV C üD]],6)),"")</f>
        <v/>
      </c>
      <c r="P44" s="117" t="str">
        <f>IFERROR(IF(IFERROR(MATCH($C$4&amp;$H44,Tabelle2[Codierung],0),0)&gt;0,VLOOKUP(H44,Tabelle1[[Ort]:[RK KLV C üD]],4,),VLOOKUP(H44,Tabelle1[[Ort]:[RK KLV C üD]],7)),"")</f>
        <v/>
      </c>
      <c r="Q44" s="118" t="str">
        <f>IFERROR(tbl_WohnsitzSO[[#This Row],[KLV A]]*tbl_WohnsitzSO[[#This Row],[KLV A Ansatz]]/60,"")</f>
        <v/>
      </c>
      <c r="R44" s="118" t="str">
        <f>IFERROR(tbl_WohnsitzSO[[#This Row],[KLV B]]*tbl_WohnsitzSO[[#This Row],[KLV B Ansatz]]/60,"")</f>
        <v/>
      </c>
      <c r="S44" s="118" t="str">
        <f>IFERROR(tbl_WohnsitzSO[[#This Row],[KLV C]]*tbl_WohnsitzSO[[#This Row],[KLV C Ansatz]]/60,"")</f>
        <v/>
      </c>
      <c r="T44" s="118">
        <f>IFERROR(SUM(tbl_WohnsitzSO[[#This Row],[KLV A Kosten]:[KLV C Kosten]]),"")</f>
        <v>0</v>
      </c>
      <c r="U44" s="116">
        <f>COUNTIF($H$12:$H44,H44)</f>
        <v>0</v>
      </c>
      <c r="V44" s="194"/>
      <c r="W44" s="194"/>
    </row>
    <row r="45" spans="1:23" x14ac:dyDescent="0.2">
      <c r="A45" s="115">
        <v>34</v>
      </c>
      <c r="B45" s="189"/>
      <c r="C45" s="189"/>
      <c r="D45" s="190"/>
      <c r="E45" s="191"/>
      <c r="F45" s="190"/>
      <c r="G45" s="189"/>
      <c r="H45" s="188"/>
      <c r="I45" s="189"/>
      <c r="J45" s="189"/>
      <c r="K45" s="189"/>
      <c r="L45" s="189"/>
      <c r="M45" s="116">
        <f>SUM(tbl_WohnsitzSO[[#This Row],[KLV A]:[KLV C]])</f>
        <v>0</v>
      </c>
      <c r="N45" s="117" t="str">
        <f>IFERROR(IF(IFERROR(MATCH($C$4&amp;$H45,Tabelle2[Codierung],0),0)&gt;0,VLOOKUP(H45,Tabelle1[[Ort]:[RK KLV C üD]],2,),VLOOKUP(H45,Tabelle1[[Ort]:[RK KLV C üD]],5)),"")</f>
        <v/>
      </c>
      <c r="O45" s="117" t="str">
        <f>IFERROR(IF(IFERROR(MATCH($C$4&amp;$H45,Tabelle2[Codierung],0),0)&gt;0,VLOOKUP(H45,Tabelle1[[Ort]:[RK KLV C üD]],3,),VLOOKUP(H45,Tabelle1[[Ort]:[RK KLV C üD]],6)),"")</f>
        <v/>
      </c>
      <c r="P45" s="117" t="str">
        <f>IFERROR(IF(IFERROR(MATCH($C$4&amp;$H45,Tabelle2[Codierung],0),0)&gt;0,VLOOKUP(H45,Tabelle1[[Ort]:[RK KLV C üD]],4,),VLOOKUP(H45,Tabelle1[[Ort]:[RK KLV C üD]],7)),"")</f>
        <v/>
      </c>
      <c r="Q45" s="118" t="str">
        <f>IFERROR(tbl_WohnsitzSO[[#This Row],[KLV A]]*tbl_WohnsitzSO[[#This Row],[KLV A Ansatz]]/60,"")</f>
        <v/>
      </c>
      <c r="R45" s="118" t="str">
        <f>IFERROR(tbl_WohnsitzSO[[#This Row],[KLV B]]*tbl_WohnsitzSO[[#This Row],[KLV B Ansatz]]/60,"")</f>
        <v/>
      </c>
      <c r="S45" s="118" t="str">
        <f>IFERROR(tbl_WohnsitzSO[[#This Row],[KLV C]]*tbl_WohnsitzSO[[#This Row],[KLV C Ansatz]]/60,"")</f>
        <v/>
      </c>
      <c r="T45" s="118">
        <f>IFERROR(SUM(tbl_WohnsitzSO[[#This Row],[KLV A Kosten]:[KLV C Kosten]]),"")</f>
        <v>0</v>
      </c>
      <c r="U45" s="116">
        <f>COUNTIF($H$12:$H45,H45)</f>
        <v>0</v>
      </c>
      <c r="V45" s="194"/>
      <c r="W45" s="194"/>
    </row>
    <row r="46" spans="1:23" x14ac:dyDescent="0.2">
      <c r="A46" s="115">
        <v>35</v>
      </c>
      <c r="B46" s="189"/>
      <c r="C46" s="189"/>
      <c r="D46" s="190"/>
      <c r="E46" s="191"/>
      <c r="F46" s="190"/>
      <c r="G46" s="189"/>
      <c r="H46" s="188"/>
      <c r="I46" s="189"/>
      <c r="J46" s="189"/>
      <c r="K46" s="189"/>
      <c r="L46" s="189"/>
      <c r="M46" s="116">
        <f>SUM(tbl_WohnsitzSO[[#This Row],[KLV A]:[KLV C]])</f>
        <v>0</v>
      </c>
      <c r="N46" s="117" t="str">
        <f>IFERROR(IF(IFERROR(MATCH($C$4&amp;$H46,Tabelle2[Codierung],0),0)&gt;0,VLOOKUP(H46,Tabelle1[[Ort]:[RK KLV C üD]],2,),VLOOKUP(H46,Tabelle1[[Ort]:[RK KLV C üD]],5)),"")</f>
        <v/>
      </c>
      <c r="O46" s="117" t="str">
        <f>IFERROR(IF(IFERROR(MATCH($C$4&amp;$H46,Tabelle2[Codierung],0),0)&gt;0,VLOOKUP(H46,Tabelle1[[Ort]:[RK KLV C üD]],3,),VLOOKUP(H46,Tabelle1[[Ort]:[RK KLV C üD]],6)),"")</f>
        <v/>
      </c>
      <c r="P46" s="117" t="str">
        <f>IFERROR(IF(IFERROR(MATCH($C$4&amp;$H46,Tabelle2[Codierung],0),0)&gt;0,VLOOKUP(H46,Tabelle1[[Ort]:[RK KLV C üD]],4,),VLOOKUP(H46,Tabelle1[[Ort]:[RK KLV C üD]],7)),"")</f>
        <v/>
      </c>
      <c r="Q46" s="118" t="str">
        <f>IFERROR(tbl_WohnsitzSO[[#This Row],[KLV A]]*tbl_WohnsitzSO[[#This Row],[KLV A Ansatz]]/60,"")</f>
        <v/>
      </c>
      <c r="R46" s="118" t="str">
        <f>IFERROR(tbl_WohnsitzSO[[#This Row],[KLV B]]*tbl_WohnsitzSO[[#This Row],[KLV B Ansatz]]/60,"")</f>
        <v/>
      </c>
      <c r="S46" s="118" t="str">
        <f>IFERROR(tbl_WohnsitzSO[[#This Row],[KLV C]]*tbl_WohnsitzSO[[#This Row],[KLV C Ansatz]]/60,"")</f>
        <v/>
      </c>
      <c r="T46" s="118">
        <f>IFERROR(SUM(tbl_WohnsitzSO[[#This Row],[KLV A Kosten]:[KLV C Kosten]]),"")</f>
        <v>0</v>
      </c>
      <c r="U46" s="116">
        <f>COUNTIF($H$12:$H46,H46)</f>
        <v>0</v>
      </c>
      <c r="V46" s="194"/>
      <c r="W46" s="194"/>
    </row>
    <row r="47" spans="1:23" x14ac:dyDescent="0.2">
      <c r="A47" s="115">
        <v>36</v>
      </c>
      <c r="B47" s="189"/>
      <c r="C47" s="189"/>
      <c r="D47" s="190"/>
      <c r="E47" s="191"/>
      <c r="F47" s="190"/>
      <c r="G47" s="189"/>
      <c r="H47" s="188"/>
      <c r="I47" s="189"/>
      <c r="J47" s="189"/>
      <c r="K47" s="189"/>
      <c r="L47" s="189"/>
      <c r="M47" s="116">
        <f>SUM(tbl_WohnsitzSO[[#This Row],[KLV A]:[KLV C]])</f>
        <v>0</v>
      </c>
      <c r="N47" s="117" t="str">
        <f>IFERROR(IF(IFERROR(MATCH($C$4&amp;$H47,Tabelle2[Codierung],0),0)&gt;0,VLOOKUP(H47,Tabelle1[[Ort]:[RK KLV C üD]],2,),VLOOKUP(H47,Tabelle1[[Ort]:[RK KLV C üD]],5)),"")</f>
        <v/>
      </c>
      <c r="O47" s="117" t="str">
        <f>IFERROR(IF(IFERROR(MATCH($C$4&amp;$H47,Tabelle2[Codierung],0),0)&gt;0,VLOOKUP(H47,Tabelle1[[Ort]:[RK KLV C üD]],3,),VLOOKUP(H47,Tabelle1[[Ort]:[RK KLV C üD]],6)),"")</f>
        <v/>
      </c>
      <c r="P47" s="117" t="str">
        <f>IFERROR(IF(IFERROR(MATCH($C$4&amp;$H47,Tabelle2[Codierung],0),0)&gt;0,VLOOKUP(H47,Tabelle1[[Ort]:[RK KLV C üD]],4,),VLOOKUP(H47,Tabelle1[[Ort]:[RK KLV C üD]],7)),"")</f>
        <v/>
      </c>
      <c r="Q47" s="118" t="str">
        <f>IFERROR(tbl_WohnsitzSO[[#This Row],[KLV A]]*tbl_WohnsitzSO[[#This Row],[KLV A Ansatz]]/60,"")</f>
        <v/>
      </c>
      <c r="R47" s="118" t="str">
        <f>IFERROR(tbl_WohnsitzSO[[#This Row],[KLV B]]*tbl_WohnsitzSO[[#This Row],[KLV B Ansatz]]/60,"")</f>
        <v/>
      </c>
      <c r="S47" s="118" t="str">
        <f>IFERROR(tbl_WohnsitzSO[[#This Row],[KLV C]]*tbl_WohnsitzSO[[#This Row],[KLV C Ansatz]]/60,"")</f>
        <v/>
      </c>
      <c r="T47" s="118">
        <f>IFERROR(SUM(tbl_WohnsitzSO[[#This Row],[KLV A Kosten]:[KLV C Kosten]]),"")</f>
        <v>0</v>
      </c>
      <c r="U47" s="116">
        <f>COUNTIF($H$12:$H47,H47)</f>
        <v>0</v>
      </c>
      <c r="V47" s="194"/>
      <c r="W47" s="194"/>
    </row>
    <row r="48" spans="1:23" x14ac:dyDescent="0.2">
      <c r="A48" s="115">
        <v>37</v>
      </c>
      <c r="B48" s="189"/>
      <c r="C48" s="189"/>
      <c r="D48" s="190"/>
      <c r="E48" s="191"/>
      <c r="F48" s="190"/>
      <c r="G48" s="189"/>
      <c r="H48" s="188"/>
      <c r="I48" s="189"/>
      <c r="J48" s="189"/>
      <c r="K48" s="189"/>
      <c r="L48" s="189"/>
      <c r="M48" s="116">
        <f>SUM(tbl_WohnsitzSO[[#This Row],[KLV A]:[KLV C]])</f>
        <v>0</v>
      </c>
      <c r="N48" s="117" t="str">
        <f>IFERROR(IF(IFERROR(MATCH($C$4&amp;$H48,Tabelle2[Codierung],0),0)&gt;0,VLOOKUP(H48,Tabelle1[[Ort]:[RK KLV C üD]],2,),VLOOKUP(H48,Tabelle1[[Ort]:[RK KLV C üD]],5)),"")</f>
        <v/>
      </c>
      <c r="O48" s="117" t="str">
        <f>IFERROR(IF(IFERROR(MATCH($C$4&amp;$H48,Tabelle2[Codierung],0),0)&gt;0,VLOOKUP(H48,Tabelle1[[Ort]:[RK KLV C üD]],3,),VLOOKUP(H48,Tabelle1[[Ort]:[RK KLV C üD]],6)),"")</f>
        <v/>
      </c>
      <c r="P48" s="117" t="str">
        <f>IFERROR(IF(IFERROR(MATCH($C$4&amp;$H48,Tabelle2[Codierung],0),0)&gt;0,VLOOKUP(H48,Tabelle1[[Ort]:[RK KLV C üD]],4,),VLOOKUP(H48,Tabelle1[[Ort]:[RK KLV C üD]],7)),"")</f>
        <v/>
      </c>
      <c r="Q48" s="118" t="str">
        <f>IFERROR(tbl_WohnsitzSO[[#This Row],[KLV A]]*tbl_WohnsitzSO[[#This Row],[KLV A Ansatz]]/60,"")</f>
        <v/>
      </c>
      <c r="R48" s="118" t="str">
        <f>IFERROR(tbl_WohnsitzSO[[#This Row],[KLV B]]*tbl_WohnsitzSO[[#This Row],[KLV B Ansatz]]/60,"")</f>
        <v/>
      </c>
      <c r="S48" s="118" t="str">
        <f>IFERROR(tbl_WohnsitzSO[[#This Row],[KLV C]]*tbl_WohnsitzSO[[#This Row],[KLV C Ansatz]]/60,"")</f>
        <v/>
      </c>
      <c r="T48" s="118">
        <f>IFERROR(SUM(tbl_WohnsitzSO[[#This Row],[KLV A Kosten]:[KLV C Kosten]]),"")</f>
        <v>0</v>
      </c>
      <c r="U48" s="116">
        <f>COUNTIF($H$12:$H48,H48)</f>
        <v>0</v>
      </c>
      <c r="V48" s="194"/>
      <c r="W48" s="194"/>
    </row>
    <row r="49" spans="1:23" x14ac:dyDescent="0.2">
      <c r="A49" s="115">
        <v>38</v>
      </c>
      <c r="B49" s="189"/>
      <c r="C49" s="189"/>
      <c r="D49" s="190"/>
      <c r="E49" s="191"/>
      <c r="F49" s="190"/>
      <c r="G49" s="189"/>
      <c r="H49" s="188"/>
      <c r="I49" s="189"/>
      <c r="J49" s="189"/>
      <c r="K49" s="189"/>
      <c r="L49" s="189"/>
      <c r="M49" s="116">
        <f>SUM(tbl_WohnsitzSO[[#This Row],[KLV A]:[KLV C]])</f>
        <v>0</v>
      </c>
      <c r="N49" s="117" t="str">
        <f>IFERROR(IF(IFERROR(MATCH($C$4&amp;$H49,Tabelle2[Codierung],0),0)&gt;0,VLOOKUP(H49,Tabelle1[[Ort]:[RK KLV C üD]],2,),VLOOKUP(H49,Tabelle1[[Ort]:[RK KLV C üD]],5)),"")</f>
        <v/>
      </c>
      <c r="O49" s="117" t="str">
        <f>IFERROR(IF(IFERROR(MATCH($C$4&amp;$H49,Tabelle2[Codierung],0),0)&gt;0,VLOOKUP(H49,Tabelle1[[Ort]:[RK KLV C üD]],3,),VLOOKUP(H49,Tabelle1[[Ort]:[RK KLV C üD]],6)),"")</f>
        <v/>
      </c>
      <c r="P49" s="117" t="str">
        <f>IFERROR(IF(IFERROR(MATCH($C$4&amp;$H49,Tabelle2[Codierung],0),0)&gt;0,VLOOKUP(H49,Tabelle1[[Ort]:[RK KLV C üD]],4,),VLOOKUP(H49,Tabelle1[[Ort]:[RK KLV C üD]],7)),"")</f>
        <v/>
      </c>
      <c r="Q49" s="118" t="str">
        <f>IFERROR(tbl_WohnsitzSO[[#This Row],[KLV A]]*tbl_WohnsitzSO[[#This Row],[KLV A Ansatz]]/60,"")</f>
        <v/>
      </c>
      <c r="R49" s="118" t="str">
        <f>IFERROR(tbl_WohnsitzSO[[#This Row],[KLV B]]*tbl_WohnsitzSO[[#This Row],[KLV B Ansatz]]/60,"")</f>
        <v/>
      </c>
      <c r="S49" s="118" t="str">
        <f>IFERROR(tbl_WohnsitzSO[[#This Row],[KLV C]]*tbl_WohnsitzSO[[#This Row],[KLV C Ansatz]]/60,"")</f>
        <v/>
      </c>
      <c r="T49" s="118">
        <f>IFERROR(SUM(tbl_WohnsitzSO[[#This Row],[KLV A Kosten]:[KLV C Kosten]]),"")</f>
        <v>0</v>
      </c>
      <c r="U49" s="116">
        <f>COUNTIF($H$12:$H49,H49)</f>
        <v>0</v>
      </c>
      <c r="V49" s="194"/>
      <c r="W49" s="194"/>
    </row>
    <row r="50" spans="1:23" x14ac:dyDescent="0.2">
      <c r="A50" s="115">
        <v>39</v>
      </c>
      <c r="B50" s="189"/>
      <c r="C50" s="189"/>
      <c r="D50" s="190"/>
      <c r="E50" s="191"/>
      <c r="F50" s="190"/>
      <c r="G50" s="189"/>
      <c r="H50" s="188"/>
      <c r="I50" s="189"/>
      <c r="J50" s="189"/>
      <c r="K50" s="189"/>
      <c r="L50" s="189"/>
      <c r="M50" s="116">
        <f>SUM(tbl_WohnsitzSO[[#This Row],[KLV A]:[KLV C]])</f>
        <v>0</v>
      </c>
      <c r="N50" s="117" t="str">
        <f>IFERROR(IF(IFERROR(MATCH($C$4&amp;$H50,Tabelle2[Codierung],0),0)&gt;0,VLOOKUP(H50,Tabelle1[[Ort]:[RK KLV C üD]],2,),VLOOKUP(H50,Tabelle1[[Ort]:[RK KLV C üD]],5)),"")</f>
        <v/>
      </c>
      <c r="O50" s="117" t="str">
        <f>IFERROR(IF(IFERROR(MATCH($C$4&amp;$H50,Tabelle2[Codierung],0),0)&gt;0,VLOOKUP(H50,Tabelle1[[Ort]:[RK KLV C üD]],3,),VLOOKUP(H50,Tabelle1[[Ort]:[RK KLV C üD]],6)),"")</f>
        <v/>
      </c>
      <c r="P50" s="117" t="str">
        <f>IFERROR(IF(IFERROR(MATCH($C$4&amp;$H50,Tabelle2[Codierung],0),0)&gt;0,VLOOKUP(H50,Tabelle1[[Ort]:[RK KLV C üD]],4,),VLOOKUP(H50,Tabelle1[[Ort]:[RK KLV C üD]],7)),"")</f>
        <v/>
      </c>
      <c r="Q50" s="118" t="str">
        <f>IFERROR(tbl_WohnsitzSO[[#This Row],[KLV A]]*tbl_WohnsitzSO[[#This Row],[KLV A Ansatz]]/60,"")</f>
        <v/>
      </c>
      <c r="R50" s="118" t="str">
        <f>IFERROR(tbl_WohnsitzSO[[#This Row],[KLV B]]*tbl_WohnsitzSO[[#This Row],[KLV B Ansatz]]/60,"")</f>
        <v/>
      </c>
      <c r="S50" s="118" t="str">
        <f>IFERROR(tbl_WohnsitzSO[[#This Row],[KLV C]]*tbl_WohnsitzSO[[#This Row],[KLV C Ansatz]]/60,"")</f>
        <v/>
      </c>
      <c r="T50" s="118">
        <f>IFERROR(SUM(tbl_WohnsitzSO[[#This Row],[KLV A Kosten]:[KLV C Kosten]]),"")</f>
        <v>0</v>
      </c>
      <c r="U50" s="116">
        <f>COUNTIF($H$12:$H50,H50)</f>
        <v>0</v>
      </c>
      <c r="V50" s="194"/>
      <c r="W50" s="194"/>
    </row>
    <row r="51" spans="1:23" x14ac:dyDescent="0.2">
      <c r="A51" s="115">
        <v>40</v>
      </c>
      <c r="B51" s="189"/>
      <c r="C51" s="189"/>
      <c r="D51" s="190"/>
      <c r="E51" s="191"/>
      <c r="F51" s="190"/>
      <c r="G51" s="189"/>
      <c r="H51" s="188"/>
      <c r="I51" s="189"/>
      <c r="J51" s="189"/>
      <c r="K51" s="189"/>
      <c r="L51" s="189"/>
      <c r="M51" s="116">
        <f>SUM(tbl_WohnsitzSO[[#This Row],[KLV A]:[KLV C]])</f>
        <v>0</v>
      </c>
      <c r="N51" s="117" t="str">
        <f>IFERROR(IF(IFERROR(MATCH($C$4&amp;$H51,Tabelle2[Codierung],0),0)&gt;0,VLOOKUP(H51,Tabelle1[[Ort]:[RK KLV C üD]],2,),VLOOKUP(H51,Tabelle1[[Ort]:[RK KLV C üD]],5)),"")</f>
        <v/>
      </c>
      <c r="O51" s="117" t="str">
        <f>IFERROR(IF(IFERROR(MATCH($C$4&amp;$H51,Tabelle2[Codierung],0),0)&gt;0,VLOOKUP(H51,Tabelle1[[Ort]:[RK KLV C üD]],3,),VLOOKUP(H51,Tabelle1[[Ort]:[RK KLV C üD]],6)),"")</f>
        <v/>
      </c>
      <c r="P51" s="117" t="str">
        <f>IFERROR(IF(IFERROR(MATCH($C$4&amp;$H51,Tabelle2[Codierung],0),0)&gt;0,VLOOKUP(H51,Tabelle1[[Ort]:[RK KLV C üD]],4,),VLOOKUP(H51,Tabelle1[[Ort]:[RK KLV C üD]],7)),"")</f>
        <v/>
      </c>
      <c r="Q51" s="118" t="str">
        <f>IFERROR(tbl_WohnsitzSO[[#This Row],[KLV A]]*tbl_WohnsitzSO[[#This Row],[KLV A Ansatz]]/60,"")</f>
        <v/>
      </c>
      <c r="R51" s="118" t="str">
        <f>IFERROR(tbl_WohnsitzSO[[#This Row],[KLV B]]*tbl_WohnsitzSO[[#This Row],[KLV B Ansatz]]/60,"")</f>
        <v/>
      </c>
      <c r="S51" s="118" t="str">
        <f>IFERROR(tbl_WohnsitzSO[[#This Row],[KLV C]]*tbl_WohnsitzSO[[#This Row],[KLV C Ansatz]]/60,"")</f>
        <v/>
      </c>
      <c r="T51" s="118">
        <f>IFERROR(SUM(tbl_WohnsitzSO[[#This Row],[KLV A Kosten]:[KLV C Kosten]]),"")</f>
        <v>0</v>
      </c>
      <c r="U51" s="116">
        <f>COUNTIF($H$12:$H51,H51)</f>
        <v>0</v>
      </c>
      <c r="V51" s="194"/>
      <c r="W51" s="194"/>
    </row>
    <row r="52" spans="1:23" x14ac:dyDescent="0.2">
      <c r="A52" s="115">
        <v>41</v>
      </c>
      <c r="B52" s="189"/>
      <c r="C52" s="189"/>
      <c r="D52" s="190"/>
      <c r="E52" s="191"/>
      <c r="F52" s="190"/>
      <c r="G52" s="189"/>
      <c r="H52" s="188"/>
      <c r="I52" s="189"/>
      <c r="J52" s="189"/>
      <c r="K52" s="189"/>
      <c r="L52" s="189"/>
      <c r="M52" s="116">
        <f>SUM(tbl_WohnsitzSO[[#This Row],[KLV A]:[KLV C]])</f>
        <v>0</v>
      </c>
      <c r="N52" s="117" t="str">
        <f>IFERROR(IF(IFERROR(MATCH($C$4&amp;$H52,Tabelle2[Codierung],0),0)&gt;0,VLOOKUP(H52,Tabelle1[[Ort]:[RK KLV C üD]],2,),VLOOKUP(H52,Tabelle1[[Ort]:[RK KLV C üD]],5)),"")</f>
        <v/>
      </c>
      <c r="O52" s="117" t="str">
        <f>IFERROR(IF(IFERROR(MATCH($C$4&amp;$H52,Tabelle2[Codierung],0),0)&gt;0,VLOOKUP(H52,Tabelle1[[Ort]:[RK KLV C üD]],3,),VLOOKUP(H52,Tabelle1[[Ort]:[RK KLV C üD]],6)),"")</f>
        <v/>
      </c>
      <c r="P52" s="117" t="str">
        <f>IFERROR(IF(IFERROR(MATCH($C$4&amp;$H52,Tabelle2[Codierung],0),0)&gt;0,VLOOKUP(H52,Tabelle1[[Ort]:[RK KLV C üD]],4,),VLOOKUP(H52,Tabelle1[[Ort]:[RK KLV C üD]],7)),"")</f>
        <v/>
      </c>
      <c r="Q52" s="118" t="str">
        <f>IFERROR(tbl_WohnsitzSO[[#This Row],[KLV A]]*tbl_WohnsitzSO[[#This Row],[KLV A Ansatz]]/60,"")</f>
        <v/>
      </c>
      <c r="R52" s="118" t="str">
        <f>IFERROR(tbl_WohnsitzSO[[#This Row],[KLV B]]*tbl_WohnsitzSO[[#This Row],[KLV B Ansatz]]/60,"")</f>
        <v/>
      </c>
      <c r="S52" s="118" t="str">
        <f>IFERROR(tbl_WohnsitzSO[[#This Row],[KLV C]]*tbl_WohnsitzSO[[#This Row],[KLV C Ansatz]]/60,"")</f>
        <v/>
      </c>
      <c r="T52" s="118">
        <f>IFERROR(SUM(tbl_WohnsitzSO[[#This Row],[KLV A Kosten]:[KLV C Kosten]]),"")</f>
        <v>0</v>
      </c>
      <c r="U52" s="116">
        <f>COUNTIF($H$12:$H52,H52)</f>
        <v>0</v>
      </c>
      <c r="V52" s="194"/>
      <c r="W52" s="194"/>
    </row>
    <row r="53" spans="1:23" x14ac:dyDescent="0.2">
      <c r="A53" s="115">
        <v>42</v>
      </c>
      <c r="B53" s="189"/>
      <c r="C53" s="189"/>
      <c r="D53" s="190"/>
      <c r="E53" s="191"/>
      <c r="F53" s="190"/>
      <c r="G53" s="189"/>
      <c r="H53" s="188"/>
      <c r="I53" s="189"/>
      <c r="J53" s="189"/>
      <c r="K53" s="189"/>
      <c r="L53" s="189"/>
      <c r="M53" s="116">
        <f>SUM(tbl_WohnsitzSO[[#This Row],[KLV A]:[KLV C]])</f>
        <v>0</v>
      </c>
      <c r="N53" s="117" t="str">
        <f>IFERROR(IF(IFERROR(MATCH($C$4&amp;$H53,Tabelle2[Codierung],0),0)&gt;0,VLOOKUP(H53,Tabelle1[[Ort]:[RK KLV C üD]],2,),VLOOKUP(H53,Tabelle1[[Ort]:[RK KLV C üD]],5)),"")</f>
        <v/>
      </c>
      <c r="O53" s="117" t="str">
        <f>IFERROR(IF(IFERROR(MATCH($C$4&amp;$H53,Tabelle2[Codierung],0),0)&gt;0,VLOOKUP(H53,Tabelle1[[Ort]:[RK KLV C üD]],3,),VLOOKUP(H53,Tabelle1[[Ort]:[RK KLV C üD]],6)),"")</f>
        <v/>
      </c>
      <c r="P53" s="117" t="str">
        <f>IFERROR(IF(IFERROR(MATCH($C$4&amp;$H53,Tabelle2[Codierung],0),0)&gt;0,VLOOKUP(H53,Tabelle1[[Ort]:[RK KLV C üD]],4,),VLOOKUP(H53,Tabelle1[[Ort]:[RK KLV C üD]],7)),"")</f>
        <v/>
      </c>
      <c r="Q53" s="118" t="str">
        <f>IFERROR(tbl_WohnsitzSO[[#This Row],[KLV A]]*tbl_WohnsitzSO[[#This Row],[KLV A Ansatz]]/60,"")</f>
        <v/>
      </c>
      <c r="R53" s="118" t="str">
        <f>IFERROR(tbl_WohnsitzSO[[#This Row],[KLV B]]*tbl_WohnsitzSO[[#This Row],[KLV B Ansatz]]/60,"")</f>
        <v/>
      </c>
      <c r="S53" s="118" t="str">
        <f>IFERROR(tbl_WohnsitzSO[[#This Row],[KLV C]]*tbl_WohnsitzSO[[#This Row],[KLV C Ansatz]]/60,"")</f>
        <v/>
      </c>
      <c r="T53" s="118">
        <f>IFERROR(SUM(tbl_WohnsitzSO[[#This Row],[KLV A Kosten]:[KLV C Kosten]]),"")</f>
        <v>0</v>
      </c>
      <c r="U53" s="116">
        <f>COUNTIF($H$12:$H53,H53)</f>
        <v>0</v>
      </c>
      <c r="V53" s="194"/>
      <c r="W53" s="194"/>
    </row>
    <row r="54" spans="1:23" x14ac:dyDescent="0.2">
      <c r="A54" s="115">
        <v>43</v>
      </c>
      <c r="B54" s="189"/>
      <c r="C54" s="189"/>
      <c r="D54" s="190"/>
      <c r="E54" s="191"/>
      <c r="F54" s="190"/>
      <c r="G54" s="189"/>
      <c r="H54" s="188"/>
      <c r="I54" s="189"/>
      <c r="J54" s="189"/>
      <c r="K54" s="189"/>
      <c r="L54" s="189"/>
      <c r="M54" s="116">
        <f>SUM(tbl_WohnsitzSO[[#This Row],[KLV A]:[KLV C]])</f>
        <v>0</v>
      </c>
      <c r="N54" s="117" t="str">
        <f>IFERROR(IF(IFERROR(MATCH($C$4&amp;$H54,Tabelle2[Codierung],0),0)&gt;0,VLOOKUP(H54,Tabelle1[[Ort]:[RK KLV C üD]],2,),VLOOKUP(H54,Tabelle1[[Ort]:[RK KLV C üD]],5)),"")</f>
        <v/>
      </c>
      <c r="O54" s="117" t="str">
        <f>IFERROR(IF(IFERROR(MATCH($C$4&amp;$H54,Tabelle2[Codierung],0),0)&gt;0,VLOOKUP(H54,Tabelle1[[Ort]:[RK KLV C üD]],3,),VLOOKUP(H54,Tabelle1[[Ort]:[RK KLV C üD]],6)),"")</f>
        <v/>
      </c>
      <c r="P54" s="117" t="str">
        <f>IFERROR(IF(IFERROR(MATCH($C$4&amp;$H54,Tabelle2[Codierung],0),0)&gt;0,VLOOKUP(H54,Tabelle1[[Ort]:[RK KLV C üD]],4,),VLOOKUP(H54,Tabelle1[[Ort]:[RK KLV C üD]],7)),"")</f>
        <v/>
      </c>
      <c r="Q54" s="118" t="str">
        <f>IFERROR(tbl_WohnsitzSO[[#This Row],[KLV A]]*tbl_WohnsitzSO[[#This Row],[KLV A Ansatz]]/60,"")</f>
        <v/>
      </c>
      <c r="R54" s="118" t="str">
        <f>IFERROR(tbl_WohnsitzSO[[#This Row],[KLV B]]*tbl_WohnsitzSO[[#This Row],[KLV B Ansatz]]/60,"")</f>
        <v/>
      </c>
      <c r="S54" s="118" t="str">
        <f>IFERROR(tbl_WohnsitzSO[[#This Row],[KLV C]]*tbl_WohnsitzSO[[#This Row],[KLV C Ansatz]]/60,"")</f>
        <v/>
      </c>
      <c r="T54" s="118">
        <f>IFERROR(SUM(tbl_WohnsitzSO[[#This Row],[KLV A Kosten]:[KLV C Kosten]]),"")</f>
        <v>0</v>
      </c>
      <c r="U54" s="116">
        <f>COUNTIF($H$12:$H54,H54)</f>
        <v>0</v>
      </c>
      <c r="V54" s="194"/>
      <c r="W54" s="194"/>
    </row>
    <row r="55" spans="1:23" x14ac:dyDescent="0.2">
      <c r="A55" s="115">
        <v>44</v>
      </c>
      <c r="B55" s="189"/>
      <c r="C55" s="189"/>
      <c r="D55" s="190"/>
      <c r="E55" s="191"/>
      <c r="F55" s="190"/>
      <c r="G55" s="189"/>
      <c r="H55" s="188"/>
      <c r="I55" s="189"/>
      <c r="J55" s="189"/>
      <c r="K55" s="189"/>
      <c r="L55" s="189"/>
      <c r="M55" s="116">
        <f>SUM(tbl_WohnsitzSO[[#This Row],[KLV A]:[KLV C]])</f>
        <v>0</v>
      </c>
      <c r="N55" s="117" t="str">
        <f>IFERROR(IF(IFERROR(MATCH($C$4&amp;$H55,Tabelle2[Codierung],0),0)&gt;0,VLOOKUP(H55,Tabelle1[[Ort]:[RK KLV C üD]],2,),VLOOKUP(H55,Tabelle1[[Ort]:[RK KLV C üD]],5)),"")</f>
        <v/>
      </c>
      <c r="O55" s="117" t="str">
        <f>IFERROR(IF(IFERROR(MATCH($C$4&amp;$H55,Tabelle2[Codierung],0),0)&gt;0,VLOOKUP(H55,Tabelle1[[Ort]:[RK KLV C üD]],3,),VLOOKUP(H55,Tabelle1[[Ort]:[RK KLV C üD]],6)),"")</f>
        <v/>
      </c>
      <c r="P55" s="117" t="str">
        <f>IFERROR(IF(IFERROR(MATCH($C$4&amp;$H55,Tabelle2[Codierung],0),0)&gt;0,VLOOKUP(H55,Tabelle1[[Ort]:[RK KLV C üD]],4,),VLOOKUP(H55,Tabelle1[[Ort]:[RK KLV C üD]],7)),"")</f>
        <v/>
      </c>
      <c r="Q55" s="118" t="str">
        <f>IFERROR(tbl_WohnsitzSO[[#This Row],[KLV A]]*tbl_WohnsitzSO[[#This Row],[KLV A Ansatz]]/60,"")</f>
        <v/>
      </c>
      <c r="R55" s="118" t="str">
        <f>IFERROR(tbl_WohnsitzSO[[#This Row],[KLV B]]*tbl_WohnsitzSO[[#This Row],[KLV B Ansatz]]/60,"")</f>
        <v/>
      </c>
      <c r="S55" s="118" t="str">
        <f>IFERROR(tbl_WohnsitzSO[[#This Row],[KLV C]]*tbl_WohnsitzSO[[#This Row],[KLV C Ansatz]]/60,"")</f>
        <v/>
      </c>
      <c r="T55" s="118">
        <f>IFERROR(SUM(tbl_WohnsitzSO[[#This Row],[KLV A Kosten]:[KLV C Kosten]]),"")</f>
        <v>0</v>
      </c>
      <c r="U55" s="116">
        <f>COUNTIF($H$12:$H55,H55)</f>
        <v>0</v>
      </c>
      <c r="V55" s="194"/>
      <c r="W55" s="194"/>
    </row>
    <row r="56" spans="1:23" x14ac:dyDescent="0.2">
      <c r="A56" s="115">
        <v>45</v>
      </c>
      <c r="B56" s="189"/>
      <c r="C56" s="189"/>
      <c r="D56" s="190"/>
      <c r="E56" s="191"/>
      <c r="F56" s="190"/>
      <c r="G56" s="189"/>
      <c r="H56" s="188"/>
      <c r="I56" s="189"/>
      <c r="J56" s="189"/>
      <c r="K56" s="189"/>
      <c r="L56" s="189"/>
      <c r="M56" s="116">
        <f>SUM(tbl_WohnsitzSO[[#This Row],[KLV A]:[KLV C]])</f>
        <v>0</v>
      </c>
      <c r="N56" s="117" t="str">
        <f>IFERROR(IF(IFERROR(MATCH($C$4&amp;$H56,Tabelle2[Codierung],0),0)&gt;0,VLOOKUP(H56,Tabelle1[[Ort]:[RK KLV C üD]],2,),VLOOKUP(H56,Tabelle1[[Ort]:[RK KLV C üD]],5)),"")</f>
        <v/>
      </c>
      <c r="O56" s="117" t="str">
        <f>IFERROR(IF(IFERROR(MATCH($C$4&amp;$H56,Tabelle2[Codierung],0),0)&gt;0,VLOOKUP(H56,Tabelle1[[Ort]:[RK KLV C üD]],3,),VLOOKUP(H56,Tabelle1[[Ort]:[RK KLV C üD]],6)),"")</f>
        <v/>
      </c>
      <c r="P56" s="117" t="str">
        <f>IFERROR(IF(IFERROR(MATCH($C$4&amp;$H56,Tabelle2[Codierung],0),0)&gt;0,VLOOKUP(H56,Tabelle1[[Ort]:[RK KLV C üD]],4,),VLOOKUP(H56,Tabelle1[[Ort]:[RK KLV C üD]],7)),"")</f>
        <v/>
      </c>
      <c r="Q56" s="118" t="str">
        <f>IFERROR(tbl_WohnsitzSO[[#This Row],[KLV A]]*tbl_WohnsitzSO[[#This Row],[KLV A Ansatz]]/60,"")</f>
        <v/>
      </c>
      <c r="R56" s="118" t="str">
        <f>IFERROR(tbl_WohnsitzSO[[#This Row],[KLV B]]*tbl_WohnsitzSO[[#This Row],[KLV B Ansatz]]/60,"")</f>
        <v/>
      </c>
      <c r="S56" s="118" t="str">
        <f>IFERROR(tbl_WohnsitzSO[[#This Row],[KLV C]]*tbl_WohnsitzSO[[#This Row],[KLV C Ansatz]]/60,"")</f>
        <v/>
      </c>
      <c r="T56" s="118">
        <f>IFERROR(SUM(tbl_WohnsitzSO[[#This Row],[KLV A Kosten]:[KLV C Kosten]]),"")</f>
        <v>0</v>
      </c>
      <c r="U56" s="116">
        <f>COUNTIF($H$12:$H56,H56)</f>
        <v>0</v>
      </c>
      <c r="V56" s="194"/>
      <c r="W56" s="194"/>
    </row>
    <row r="57" spans="1:23" x14ac:dyDescent="0.2">
      <c r="A57" s="115">
        <v>46</v>
      </c>
      <c r="B57" s="189"/>
      <c r="C57" s="189"/>
      <c r="D57" s="190"/>
      <c r="E57" s="191"/>
      <c r="F57" s="190"/>
      <c r="G57" s="189"/>
      <c r="H57" s="188"/>
      <c r="I57" s="189"/>
      <c r="J57" s="189"/>
      <c r="K57" s="189"/>
      <c r="L57" s="189"/>
      <c r="M57" s="116">
        <f>SUM(tbl_WohnsitzSO[[#This Row],[KLV A]:[KLV C]])</f>
        <v>0</v>
      </c>
      <c r="N57" s="117" t="str">
        <f>IFERROR(IF(IFERROR(MATCH($C$4&amp;$H57,Tabelle2[Codierung],0),0)&gt;0,VLOOKUP(H57,Tabelle1[[Ort]:[RK KLV C üD]],2,),VLOOKUP(H57,Tabelle1[[Ort]:[RK KLV C üD]],5)),"")</f>
        <v/>
      </c>
      <c r="O57" s="117" t="str">
        <f>IFERROR(IF(IFERROR(MATCH($C$4&amp;$H57,Tabelle2[Codierung],0),0)&gt;0,VLOOKUP(H57,Tabelle1[[Ort]:[RK KLV C üD]],3,),VLOOKUP(H57,Tabelle1[[Ort]:[RK KLV C üD]],6)),"")</f>
        <v/>
      </c>
      <c r="P57" s="117" t="str">
        <f>IFERROR(IF(IFERROR(MATCH($C$4&amp;$H57,Tabelle2[Codierung],0),0)&gt;0,VLOOKUP(H57,Tabelle1[[Ort]:[RK KLV C üD]],4,),VLOOKUP(H57,Tabelle1[[Ort]:[RK KLV C üD]],7)),"")</f>
        <v/>
      </c>
      <c r="Q57" s="118" t="str">
        <f>IFERROR(tbl_WohnsitzSO[[#This Row],[KLV A]]*tbl_WohnsitzSO[[#This Row],[KLV A Ansatz]]/60,"")</f>
        <v/>
      </c>
      <c r="R57" s="118" t="str">
        <f>IFERROR(tbl_WohnsitzSO[[#This Row],[KLV B]]*tbl_WohnsitzSO[[#This Row],[KLV B Ansatz]]/60,"")</f>
        <v/>
      </c>
      <c r="S57" s="118" t="str">
        <f>IFERROR(tbl_WohnsitzSO[[#This Row],[KLV C]]*tbl_WohnsitzSO[[#This Row],[KLV C Ansatz]]/60,"")</f>
        <v/>
      </c>
      <c r="T57" s="118">
        <f>IFERROR(SUM(tbl_WohnsitzSO[[#This Row],[KLV A Kosten]:[KLV C Kosten]]),"")</f>
        <v>0</v>
      </c>
      <c r="U57" s="116">
        <f>COUNTIF($H$12:$H57,H57)</f>
        <v>0</v>
      </c>
      <c r="V57" s="194"/>
      <c r="W57" s="194"/>
    </row>
    <row r="58" spans="1:23" x14ac:dyDescent="0.2">
      <c r="A58" s="115">
        <v>47</v>
      </c>
      <c r="B58" s="189"/>
      <c r="C58" s="189"/>
      <c r="D58" s="190"/>
      <c r="E58" s="191"/>
      <c r="F58" s="190"/>
      <c r="G58" s="189"/>
      <c r="H58" s="188"/>
      <c r="I58" s="189"/>
      <c r="J58" s="189"/>
      <c r="K58" s="189"/>
      <c r="L58" s="189"/>
      <c r="M58" s="116">
        <f>SUM(tbl_WohnsitzSO[[#This Row],[KLV A]:[KLV C]])</f>
        <v>0</v>
      </c>
      <c r="N58" s="117" t="str">
        <f>IFERROR(IF(IFERROR(MATCH($C$4&amp;$H58,Tabelle2[Codierung],0),0)&gt;0,VLOOKUP(H58,Tabelle1[[Ort]:[RK KLV C üD]],2,),VLOOKUP(H58,Tabelle1[[Ort]:[RK KLV C üD]],5)),"")</f>
        <v/>
      </c>
      <c r="O58" s="117" t="str">
        <f>IFERROR(IF(IFERROR(MATCH($C$4&amp;$H58,Tabelle2[Codierung],0),0)&gt;0,VLOOKUP(H58,Tabelle1[[Ort]:[RK KLV C üD]],3,),VLOOKUP(H58,Tabelle1[[Ort]:[RK KLV C üD]],6)),"")</f>
        <v/>
      </c>
      <c r="P58" s="117" t="str">
        <f>IFERROR(IF(IFERROR(MATCH($C$4&amp;$H58,Tabelle2[Codierung],0),0)&gt;0,VLOOKUP(H58,Tabelle1[[Ort]:[RK KLV C üD]],4,),VLOOKUP(H58,Tabelle1[[Ort]:[RK KLV C üD]],7)),"")</f>
        <v/>
      </c>
      <c r="Q58" s="118" t="str">
        <f>IFERROR(tbl_WohnsitzSO[[#This Row],[KLV A]]*tbl_WohnsitzSO[[#This Row],[KLV A Ansatz]]/60,"")</f>
        <v/>
      </c>
      <c r="R58" s="118" t="str">
        <f>IFERROR(tbl_WohnsitzSO[[#This Row],[KLV B]]*tbl_WohnsitzSO[[#This Row],[KLV B Ansatz]]/60,"")</f>
        <v/>
      </c>
      <c r="S58" s="118" t="str">
        <f>IFERROR(tbl_WohnsitzSO[[#This Row],[KLV C]]*tbl_WohnsitzSO[[#This Row],[KLV C Ansatz]]/60,"")</f>
        <v/>
      </c>
      <c r="T58" s="118">
        <f>IFERROR(SUM(tbl_WohnsitzSO[[#This Row],[KLV A Kosten]:[KLV C Kosten]]),"")</f>
        <v>0</v>
      </c>
      <c r="U58" s="116">
        <f>COUNTIF($H$12:$H58,H58)</f>
        <v>0</v>
      </c>
      <c r="V58" s="194"/>
      <c r="W58" s="194"/>
    </row>
    <row r="59" spans="1:23" x14ac:dyDescent="0.2">
      <c r="A59" s="115">
        <v>48</v>
      </c>
      <c r="B59" s="189"/>
      <c r="C59" s="189"/>
      <c r="D59" s="190"/>
      <c r="E59" s="191"/>
      <c r="F59" s="190"/>
      <c r="G59" s="189"/>
      <c r="H59" s="188"/>
      <c r="I59" s="189"/>
      <c r="J59" s="189"/>
      <c r="K59" s="189"/>
      <c r="L59" s="189"/>
      <c r="M59" s="116">
        <f>SUM(tbl_WohnsitzSO[[#This Row],[KLV A]:[KLV C]])</f>
        <v>0</v>
      </c>
      <c r="N59" s="117" t="str">
        <f>IFERROR(IF(IFERROR(MATCH($C$4&amp;$H59,Tabelle2[Codierung],0),0)&gt;0,VLOOKUP(H59,Tabelle1[[Ort]:[RK KLV C üD]],2,),VLOOKUP(H59,Tabelle1[[Ort]:[RK KLV C üD]],5)),"")</f>
        <v/>
      </c>
      <c r="O59" s="117" t="str">
        <f>IFERROR(IF(IFERROR(MATCH($C$4&amp;$H59,Tabelle2[Codierung],0),0)&gt;0,VLOOKUP(H59,Tabelle1[[Ort]:[RK KLV C üD]],3,),VLOOKUP(H59,Tabelle1[[Ort]:[RK KLV C üD]],6)),"")</f>
        <v/>
      </c>
      <c r="P59" s="117" t="str">
        <f>IFERROR(IF(IFERROR(MATCH($C$4&amp;$H59,Tabelle2[Codierung],0),0)&gt;0,VLOOKUP(H59,Tabelle1[[Ort]:[RK KLV C üD]],4,),VLOOKUP(H59,Tabelle1[[Ort]:[RK KLV C üD]],7)),"")</f>
        <v/>
      </c>
      <c r="Q59" s="118" t="str">
        <f>IFERROR(tbl_WohnsitzSO[[#This Row],[KLV A]]*tbl_WohnsitzSO[[#This Row],[KLV A Ansatz]]/60,"")</f>
        <v/>
      </c>
      <c r="R59" s="118" t="str">
        <f>IFERROR(tbl_WohnsitzSO[[#This Row],[KLV B]]*tbl_WohnsitzSO[[#This Row],[KLV B Ansatz]]/60,"")</f>
        <v/>
      </c>
      <c r="S59" s="118" t="str">
        <f>IFERROR(tbl_WohnsitzSO[[#This Row],[KLV C]]*tbl_WohnsitzSO[[#This Row],[KLV C Ansatz]]/60,"")</f>
        <v/>
      </c>
      <c r="T59" s="118">
        <f>IFERROR(SUM(tbl_WohnsitzSO[[#This Row],[KLV A Kosten]:[KLV C Kosten]]),"")</f>
        <v>0</v>
      </c>
      <c r="U59" s="116">
        <f>COUNTIF($H$12:$H59,H59)</f>
        <v>0</v>
      </c>
      <c r="V59" s="194"/>
      <c r="W59" s="194"/>
    </row>
    <row r="60" spans="1:23" x14ac:dyDescent="0.2">
      <c r="A60" s="115">
        <v>49</v>
      </c>
      <c r="B60" s="189"/>
      <c r="C60" s="189"/>
      <c r="D60" s="190"/>
      <c r="E60" s="191"/>
      <c r="F60" s="190"/>
      <c r="G60" s="189"/>
      <c r="H60" s="188"/>
      <c r="I60" s="189"/>
      <c r="J60" s="189"/>
      <c r="K60" s="189"/>
      <c r="L60" s="189"/>
      <c r="M60" s="116">
        <f>SUM(tbl_WohnsitzSO[[#This Row],[KLV A]:[KLV C]])</f>
        <v>0</v>
      </c>
      <c r="N60" s="117" t="str">
        <f>IFERROR(IF(IFERROR(MATCH($C$4&amp;$H60,Tabelle2[Codierung],0),0)&gt;0,VLOOKUP(H60,Tabelle1[[Ort]:[RK KLV C üD]],2,),VLOOKUP(H60,Tabelle1[[Ort]:[RK KLV C üD]],5)),"")</f>
        <v/>
      </c>
      <c r="O60" s="117" t="str">
        <f>IFERROR(IF(IFERROR(MATCH($C$4&amp;$H60,Tabelle2[Codierung],0),0)&gt;0,VLOOKUP(H60,Tabelle1[[Ort]:[RK KLV C üD]],3,),VLOOKUP(H60,Tabelle1[[Ort]:[RK KLV C üD]],6)),"")</f>
        <v/>
      </c>
      <c r="P60" s="117" t="str">
        <f>IFERROR(IF(IFERROR(MATCH($C$4&amp;$H60,Tabelle2[Codierung],0),0)&gt;0,VLOOKUP(H60,Tabelle1[[Ort]:[RK KLV C üD]],4,),VLOOKUP(H60,Tabelle1[[Ort]:[RK KLV C üD]],7)),"")</f>
        <v/>
      </c>
      <c r="Q60" s="118" t="str">
        <f>IFERROR(tbl_WohnsitzSO[[#This Row],[KLV A]]*tbl_WohnsitzSO[[#This Row],[KLV A Ansatz]]/60,"")</f>
        <v/>
      </c>
      <c r="R60" s="118" t="str">
        <f>IFERROR(tbl_WohnsitzSO[[#This Row],[KLV B]]*tbl_WohnsitzSO[[#This Row],[KLV B Ansatz]]/60,"")</f>
        <v/>
      </c>
      <c r="S60" s="118" t="str">
        <f>IFERROR(tbl_WohnsitzSO[[#This Row],[KLV C]]*tbl_WohnsitzSO[[#This Row],[KLV C Ansatz]]/60,"")</f>
        <v/>
      </c>
      <c r="T60" s="118">
        <f>IFERROR(SUM(tbl_WohnsitzSO[[#This Row],[KLV A Kosten]:[KLV C Kosten]]),"")</f>
        <v>0</v>
      </c>
      <c r="U60" s="116">
        <f>COUNTIF($H$12:$H60,H60)</f>
        <v>0</v>
      </c>
      <c r="V60" s="194"/>
      <c r="W60" s="194"/>
    </row>
    <row r="61" spans="1:23" x14ac:dyDescent="0.2">
      <c r="A61" s="115">
        <v>50</v>
      </c>
      <c r="B61" s="189"/>
      <c r="C61" s="189"/>
      <c r="D61" s="190"/>
      <c r="E61" s="191"/>
      <c r="F61" s="190"/>
      <c r="G61" s="189"/>
      <c r="H61" s="188"/>
      <c r="I61" s="189"/>
      <c r="J61" s="189"/>
      <c r="K61" s="189"/>
      <c r="L61" s="189"/>
      <c r="M61" s="116">
        <f>SUM(tbl_WohnsitzSO[[#This Row],[KLV A]:[KLV C]])</f>
        <v>0</v>
      </c>
      <c r="N61" s="117" t="str">
        <f>IFERROR(IF(IFERROR(MATCH($C$4&amp;$H61,Tabelle2[Codierung],0),0)&gt;0,VLOOKUP(H61,Tabelle1[[Ort]:[RK KLV C üD]],2,),VLOOKUP(H61,Tabelle1[[Ort]:[RK KLV C üD]],5)),"")</f>
        <v/>
      </c>
      <c r="O61" s="117" t="str">
        <f>IFERROR(IF(IFERROR(MATCH($C$4&amp;$H61,Tabelle2[Codierung],0),0)&gt;0,VLOOKUP(H61,Tabelle1[[Ort]:[RK KLV C üD]],3,),VLOOKUP(H61,Tabelle1[[Ort]:[RK KLV C üD]],6)),"")</f>
        <v/>
      </c>
      <c r="P61" s="117" t="str">
        <f>IFERROR(IF(IFERROR(MATCH($C$4&amp;$H61,Tabelle2[Codierung],0),0)&gt;0,VLOOKUP(H61,Tabelle1[[Ort]:[RK KLV C üD]],4,),VLOOKUP(H61,Tabelle1[[Ort]:[RK KLV C üD]],7)),"")</f>
        <v/>
      </c>
      <c r="Q61" s="118" t="str">
        <f>IFERROR(tbl_WohnsitzSO[[#This Row],[KLV A]]*tbl_WohnsitzSO[[#This Row],[KLV A Ansatz]]/60,"")</f>
        <v/>
      </c>
      <c r="R61" s="118" t="str">
        <f>IFERROR(tbl_WohnsitzSO[[#This Row],[KLV B]]*tbl_WohnsitzSO[[#This Row],[KLV B Ansatz]]/60,"")</f>
        <v/>
      </c>
      <c r="S61" s="118" t="str">
        <f>IFERROR(tbl_WohnsitzSO[[#This Row],[KLV C]]*tbl_WohnsitzSO[[#This Row],[KLV C Ansatz]]/60,"")</f>
        <v/>
      </c>
      <c r="T61" s="118">
        <f>IFERROR(SUM(tbl_WohnsitzSO[[#This Row],[KLV A Kosten]:[KLV C Kosten]]),"")</f>
        <v>0</v>
      </c>
      <c r="U61" s="116">
        <f>COUNTIF($H$12:$H61,H61)</f>
        <v>0</v>
      </c>
      <c r="V61" s="194"/>
      <c r="W61" s="194"/>
    </row>
    <row r="62" spans="1:23" x14ac:dyDescent="0.2">
      <c r="A62" s="115">
        <v>51</v>
      </c>
      <c r="B62" s="189"/>
      <c r="C62" s="189"/>
      <c r="D62" s="190"/>
      <c r="E62" s="191"/>
      <c r="F62" s="190"/>
      <c r="G62" s="189"/>
      <c r="H62" s="188"/>
      <c r="I62" s="189"/>
      <c r="J62" s="189"/>
      <c r="K62" s="189"/>
      <c r="L62" s="189"/>
      <c r="M62" s="116">
        <f>SUM(tbl_WohnsitzSO[[#This Row],[KLV A]:[KLV C]])</f>
        <v>0</v>
      </c>
      <c r="N62" s="117" t="str">
        <f>IFERROR(IF(IFERROR(MATCH($C$4&amp;$H62,Tabelle2[Codierung],0),0)&gt;0,VLOOKUP(H62,Tabelle1[[Ort]:[RK KLV C üD]],2,),VLOOKUP(H62,Tabelle1[[Ort]:[RK KLV C üD]],5)),"")</f>
        <v/>
      </c>
      <c r="O62" s="117" t="str">
        <f>IFERROR(IF(IFERROR(MATCH($C$4&amp;$H62,Tabelle2[Codierung],0),0)&gt;0,VLOOKUP(H62,Tabelle1[[Ort]:[RK KLV C üD]],3,),VLOOKUP(H62,Tabelle1[[Ort]:[RK KLV C üD]],6)),"")</f>
        <v/>
      </c>
      <c r="P62" s="117" t="str">
        <f>IFERROR(IF(IFERROR(MATCH($C$4&amp;$H62,Tabelle2[Codierung],0),0)&gt;0,VLOOKUP(H62,Tabelle1[[Ort]:[RK KLV C üD]],4,),VLOOKUP(H62,Tabelle1[[Ort]:[RK KLV C üD]],7)),"")</f>
        <v/>
      </c>
      <c r="Q62" s="118" t="str">
        <f>IFERROR(tbl_WohnsitzSO[[#This Row],[KLV A]]*tbl_WohnsitzSO[[#This Row],[KLV A Ansatz]]/60,"")</f>
        <v/>
      </c>
      <c r="R62" s="118" t="str">
        <f>IFERROR(tbl_WohnsitzSO[[#This Row],[KLV B]]*tbl_WohnsitzSO[[#This Row],[KLV B Ansatz]]/60,"")</f>
        <v/>
      </c>
      <c r="S62" s="118" t="str">
        <f>IFERROR(tbl_WohnsitzSO[[#This Row],[KLV C]]*tbl_WohnsitzSO[[#This Row],[KLV C Ansatz]]/60,"")</f>
        <v/>
      </c>
      <c r="T62" s="118">
        <f>IFERROR(SUM(tbl_WohnsitzSO[[#This Row],[KLV A Kosten]:[KLV C Kosten]]),"")</f>
        <v>0</v>
      </c>
      <c r="U62" s="116">
        <f>COUNTIF($H$12:$H62,H62)</f>
        <v>0</v>
      </c>
      <c r="V62" s="194"/>
      <c r="W62" s="194"/>
    </row>
    <row r="63" spans="1:23" x14ac:dyDescent="0.2">
      <c r="A63" s="115">
        <v>52</v>
      </c>
      <c r="B63" s="189"/>
      <c r="C63" s="189"/>
      <c r="D63" s="190"/>
      <c r="E63" s="191"/>
      <c r="F63" s="190"/>
      <c r="G63" s="189"/>
      <c r="H63" s="188"/>
      <c r="I63" s="189"/>
      <c r="J63" s="189"/>
      <c r="K63" s="189"/>
      <c r="L63" s="189"/>
      <c r="M63" s="116">
        <f>SUM(tbl_WohnsitzSO[[#This Row],[KLV A]:[KLV C]])</f>
        <v>0</v>
      </c>
      <c r="N63" s="117" t="str">
        <f>IFERROR(IF(IFERROR(MATCH($C$4&amp;$H63,Tabelle2[Codierung],0),0)&gt;0,VLOOKUP(H63,Tabelle1[[Ort]:[RK KLV C üD]],2,),VLOOKUP(H63,Tabelle1[[Ort]:[RK KLV C üD]],5)),"")</f>
        <v/>
      </c>
      <c r="O63" s="117" t="str">
        <f>IFERROR(IF(IFERROR(MATCH($C$4&amp;$H63,Tabelle2[Codierung],0),0)&gt;0,VLOOKUP(H63,Tabelle1[[Ort]:[RK KLV C üD]],3,),VLOOKUP(H63,Tabelle1[[Ort]:[RK KLV C üD]],6)),"")</f>
        <v/>
      </c>
      <c r="P63" s="117" t="str">
        <f>IFERROR(IF(IFERROR(MATCH($C$4&amp;$H63,Tabelle2[Codierung],0),0)&gt;0,VLOOKUP(H63,Tabelle1[[Ort]:[RK KLV C üD]],4,),VLOOKUP(H63,Tabelle1[[Ort]:[RK KLV C üD]],7)),"")</f>
        <v/>
      </c>
      <c r="Q63" s="118" t="str">
        <f>IFERROR(tbl_WohnsitzSO[[#This Row],[KLV A]]*tbl_WohnsitzSO[[#This Row],[KLV A Ansatz]]/60,"")</f>
        <v/>
      </c>
      <c r="R63" s="118" t="str">
        <f>IFERROR(tbl_WohnsitzSO[[#This Row],[KLV B]]*tbl_WohnsitzSO[[#This Row],[KLV B Ansatz]]/60,"")</f>
        <v/>
      </c>
      <c r="S63" s="118" t="str">
        <f>IFERROR(tbl_WohnsitzSO[[#This Row],[KLV C]]*tbl_WohnsitzSO[[#This Row],[KLV C Ansatz]]/60,"")</f>
        <v/>
      </c>
      <c r="T63" s="118">
        <f>IFERROR(SUM(tbl_WohnsitzSO[[#This Row],[KLV A Kosten]:[KLV C Kosten]]),"")</f>
        <v>0</v>
      </c>
      <c r="U63" s="116">
        <f>COUNTIF($H$12:$H63,H63)</f>
        <v>0</v>
      </c>
      <c r="V63" s="194"/>
      <c r="W63" s="194"/>
    </row>
    <row r="64" spans="1:23" x14ac:dyDescent="0.2">
      <c r="A64" s="115">
        <v>53</v>
      </c>
      <c r="B64" s="189"/>
      <c r="C64" s="189"/>
      <c r="D64" s="190"/>
      <c r="E64" s="191"/>
      <c r="F64" s="190"/>
      <c r="G64" s="189"/>
      <c r="H64" s="188"/>
      <c r="I64" s="189"/>
      <c r="J64" s="189"/>
      <c r="K64" s="189"/>
      <c r="L64" s="189"/>
      <c r="M64" s="116">
        <f>SUM(tbl_WohnsitzSO[[#This Row],[KLV A]:[KLV C]])</f>
        <v>0</v>
      </c>
      <c r="N64" s="117" t="str">
        <f>IFERROR(IF(IFERROR(MATCH($C$4&amp;$H64,Tabelle2[Codierung],0),0)&gt;0,VLOOKUP(H64,Tabelle1[[Ort]:[RK KLV C üD]],2,),VLOOKUP(H64,Tabelle1[[Ort]:[RK KLV C üD]],5)),"")</f>
        <v/>
      </c>
      <c r="O64" s="117" t="str">
        <f>IFERROR(IF(IFERROR(MATCH($C$4&amp;$H64,Tabelle2[Codierung],0),0)&gt;0,VLOOKUP(H64,Tabelle1[[Ort]:[RK KLV C üD]],3,),VLOOKUP(H64,Tabelle1[[Ort]:[RK KLV C üD]],6)),"")</f>
        <v/>
      </c>
      <c r="P64" s="117" t="str">
        <f>IFERROR(IF(IFERROR(MATCH($C$4&amp;$H64,Tabelle2[Codierung],0),0)&gt;0,VLOOKUP(H64,Tabelle1[[Ort]:[RK KLV C üD]],4,),VLOOKUP(H64,Tabelle1[[Ort]:[RK KLV C üD]],7)),"")</f>
        <v/>
      </c>
      <c r="Q64" s="118" t="str">
        <f>IFERROR(tbl_WohnsitzSO[[#This Row],[KLV A]]*tbl_WohnsitzSO[[#This Row],[KLV A Ansatz]]/60,"")</f>
        <v/>
      </c>
      <c r="R64" s="118" t="str">
        <f>IFERROR(tbl_WohnsitzSO[[#This Row],[KLV B]]*tbl_WohnsitzSO[[#This Row],[KLV B Ansatz]]/60,"")</f>
        <v/>
      </c>
      <c r="S64" s="118" t="str">
        <f>IFERROR(tbl_WohnsitzSO[[#This Row],[KLV C]]*tbl_WohnsitzSO[[#This Row],[KLV C Ansatz]]/60,"")</f>
        <v/>
      </c>
      <c r="T64" s="118">
        <f>IFERROR(SUM(tbl_WohnsitzSO[[#This Row],[KLV A Kosten]:[KLV C Kosten]]),"")</f>
        <v>0</v>
      </c>
      <c r="U64" s="116">
        <f>COUNTIF($H$12:$H64,H64)</f>
        <v>0</v>
      </c>
      <c r="V64" s="194"/>
      <c r="W64" s="194"/>
    </row>
    <row r="65" spans="1:23" x14ac:dyDescent="0.2">
      <c r="A65" s="115">
        <v>54</v>
      </c>
      <c r="B65" s="189"/>
      <c r="C65" s="189"/>
      <c r="D65" s="190"/>
      <c r="E65" s="191"/>
      <c r="F65" s="190"/>
      <c r="G65" s="189"/>
      <c r="H65" s="188"/>
      <c r="I65" s="189"/>
      <c r="J65" s="189"/>
      <c r="K65" s="189"/>
      <c r="L65" s="189"/>
      <c r="M65" s="116">
        <f>SUM(tbl_WohnsitzSO[[#This Row],[KLV A]:[KLV C]])</f>
        <v>0</v>
      </c>
      <c r="N65" s="117" t="str">
        <f>IFERROR(IF(IFERROR(MATCH($C$4&amp;$H65,Tabelle2[Codierung],0),0)&gt;0,VLOOKUP(H65,Tabelle1[[Ort]:[RK KLV C üD]],2,),VLOOKUP(H65,Tabelle1[[Ort]:[RK KLV C üD]],5)),"")</f>
        <v/>
      </c>
      <c r="O65" s="117" t="str">
        <f>IFERROR(IF(IFERROR(MATCH($C$4&amp;$H65,Tabelle2[Codierung],0),0)&gt;0,VLOOKUP(H65,Tabelle1[[Ort]:[RK KLV C üD]],3,),VLOOKUP(H65,Tabelle1[[Ort]:[RK KLV C üD]],6)),"")</f>
        <v/>
      </c>
      <c r="P65" s="117" t="str">
        <f>IFERROR(IF(IFERROR(MATCH($C$4&amp;$H65,Tabelle2[Codierung],0),0)&gt;0,VLOOKUP(H65,Tabelle1[[Ort]:[RK KLV C üD]],4,),VLOOKUP(H65,Tabelle1[[Ort]:[RK KLV C üD]],7)),"")</f>
        <v/>
      </c>
      <c r="Q65" s="118" t="str">
        <f>IFERROR(tbl_WohnsitzSO[[#This Row],[KLV A]]*tbl_WohnsitzSO[[#This Row],[KLV A Ansatz]]/60,"")</f>
        <v/>
      </c>
      <c r="R65" s="118" t="str">
        <f>IFERROR(tbl_WohnsitzSO[[#This Row],[KLV B]]*tbl_WohnsitzSO[[#This Row],[KLV B Ansatz]]/60,"")</f>
        <v/>
      </c>
      <c r="S65" s="118" t="str">
        <f>IFERROR(tbl_WohnsitzSO[[#This Row],[KLV C]]*tbl_WohnsitzSO[[#This Row],[KLV C Ansatz]]/60,"")</f>
        <v/>
      </c>
      <c r="T65" s="118">
        <f>IFERROR(SUM(tbl_WohnsitzSO[[#This Row],[KLV A Kosten]:[KLV C Kosten]]),"")</f>
        <v>0</v>
      </c>
      <c r="U65" s="116">
        <f>COUNTIF($H$12:$H65,H65)</f>
        <v>0</v>
      </c>
      <c r="V65" s="194"/>
      <c r="W65" s="194"/>
    </row>
    <row r="66" spans="1:23" x14ac:dyDescent="0.2">
      <c r="A66" s="115">
        <v>55</v>
      </c>
      <c r="B66" s="189"/>
      <c r="C66" s="189"/>
      <c r="D66" s="190"/>
      <c r="E66" s="191"/>
      <c r="F66" s="190"/>
      <c r="G66" s="189"/>
      <c r="H66" s="188"/>
      <c r="I66" s="189"/>
      <c r="J66" s="189"/>
      <c r="K66" s="189"/>
      <c r="L66" s="189"/>
      <c r="M66" s="116">
        <f>SUM(tbl_WohnsitzSO[[#This Row],[KLV A]:[KLV C]])</f>
        <v>0</v>
      </c>
      <c r="N66" s="117" t="str">
        <f>IFERROR(IF(IFERROR(MATCH($C$4&amp;$H66,Tabelle2[Codierung],0),0)&gt;0,VLOOKUP(H66,Tabelle1[[Ort]:[RK KLV C üD]],2,),VLOOKUP(H66,Tabelle1[[Ort]:[RK KLV C üD]],5)),"")</f>
        <v/>
      </c>
      <c r="O66" s="117" t="str">
        <f>IFERROR(IF(IFERROR(MATCH($C$4&amp;$H66,Tabelle2[Codierung],0),0)&gt;0,VLOOKUP(H66,Tabelle1[[Ort]:[RK KLV C üD]],3,),VLOOKUP(H66,Tabelle1[[Ort]:[RK KLV C üD]],6)),"")</f>
        <v/>
      </c>
      <c r="P66" s="117" t="str">
        <f>IFERROR(IF(IFERROR(MATCH($C$4&amp;$H66,Tabelle2[Codierung],0),0)&gt;0,VLOOKUP(H66,Tabelle1[[Ort]:[RK KLV C üD]],4,),VLOOKUP(H66,Tabelle1[[Ort]:[RK KLV C üD]],7)),"")</f>
        <v/>
      </c>
      <c r="Q66" s="118" t="str">
        <f>IFERROR(tbl_WohnsitzSO[[#This Row],[KLV A]]*tbl_WohnsitzSO[[#This Row],[KLV A Ansatz]]/60,"")</f>
        <v/>
      </c>
      <c r="R66" s="118" t="str">
        <f>IFERROR(tbl_WohnsitzSO[[#This Row],[KLV B]]*tbl_WohnsitzSO[[#This Row],[KLV B Ansatz]]/60,"")</f>
        <v/>
      </c>
      <c r="S66" s="118" t="str">
        <f>IFERROR(tbl_WohnsitzSO[[#This Row],[KLV C]]*tbl_WohnsitzSO[[#This Row],[KLV C Ansatz]]/60,"")</f>
        <v/>
      </c>
      <c r="T66" s="118">
        <f>IFERROR(SUM(tbl_WohnsitzSO[[#This Row],[KLV A Kosten]:[KLV C Kosten]]),"")</f>
        <v>0</v>
      </c>
      <c r="U66" s="116">
        <f>COUNTIF($H$12:$H66,H66)</f>
        <v>0</v>
      </c>
      <c r="V66" s="194"/>
      <c r="W66" s="194"/>
    </row>
    <row r="67" spans="1:23" x14ac:dyDescent="0.2">
      <c r="A67" s="115">
        <v>56</v>
      </c>
      <c r="B67" s="189"/>
      <c r="C67" s="189"/>
      <c r="D67" s="190"/>
      <c r="E67" s="191"/>
      <c r="F67" s="190"/>
      <c r="G67" s="189"/>
      <c r="H67" s="188"/>
      <c r="I67" s="189"/>
      <c r="J67" s="189"/>
      <c r="K67" s="189"/>
      <c r="L67" s="189"/>
      <c r="M67" s="116">
        <f>SUM(tbl_WohnsitzSO[[#This Row],[KLV A]:[KLV C]])</f>
        <v>0</v>
      </c>
      <c r="N67" s="117" t="str">
        <f>IFERROR(IF(IFERROR(MATCH($C$4&amp;$H67,Tabelle2[Codierung],0),0)&gt;0,VLOOKUP(H67,Tabelle1[[Ort]:[RK KLV C üD]],2,),VLOOKUP(H67,Tabelle1[[Ort]:[RK KLV C üD]],5)),"")</f>
        <v/>
      </c>
      <c r="O67" s="117" t="str">
        <f>IFERROR(IF(IFERROR(MATCH($C$4&amp;$H67,Tabelle2[Codierung],0),0)&gt;0,VLOOKUP(H67,Tabelle1[[Ort]:[RK KLV C üD]],3,),VLOOKUP(H67,Tabelle1[[Ort]:[RK KLV C üD]],6)),"")</f>
        <v/>
      </c>
      <c r="P67" s="117" t="str">
        <f>IFERROR(IF(IFERROR(MATCH($C$4&amp;$H67,Tabelle2[Codierung],0),0)&gt;0,VLOOKUP(H67,Tabelle1[[Ort]:[RK KLV C üD]],4,),VLOOKUP(H67,Tabelle1[[Ort]:[RK KLV C üD]],7)),"")</f>
        <v/>
      </c>
      <c r="Q67" s="118" t="str">
        <f>IFERROR(tbl_WohnsitzSO[[#This Row],[KLV A]]*tbl_WohnsitzSO[[#This Row],[KLV A Ansatz]]/60,"")</f>
        <v/>
      </c>
      <c r="R67" s="118" t="str">
        <f>IFERROR(tbl_WohnsitzSO[[#This Row],[KLV B]]*tbl_WohnsitzSO[[#This Row],[KLV B Ansatz]]/60,"")</f>
        <v/>
      </c>
      <c r="S67" s="118" t="str">
        <f>IFERROR(tbl_WohnsitzSO[[#This Row],[KLV C]]*tbl_WohnsitzSO[[#This Row],[KLV C Ansatz]]/60,"")</f>
        <v/>
      </c>
      <c r="T67" s="118">
        <f>IFERROR(SUM(tbl_WohnsitzSO[[#This Row],[KLV A Kosten]:[KLV C Kosten]]),"")</f>
        <v>0</v>
      </c>
      <c r="U67" s="116">
        <f>COUNTIF($H$12:$H67,H67)</f>
        <v>0</v>
      </c>
      <c r="V67" s="194"/>
      <c r="W67" s="194"/>
    </row>
    <row r="68" spans="1:23" x14ac:dyDescent="0.2">
      <c r="A68" s="115">
        <v>57</v>
      </c>
      <c r="B68" s="189"/>
      <c r="C68" s="189"/>
      <c r="D68" s="190"/>
      <c r="E68" s="191"/>
      <c r="F68" s="190"/>
      <c r="G68" s="189"/>
      <c r="H68" s="188"/>
      <c r="I68" s="189"/>
      <c r="J68" s="189"/>
      <c r="K68" s="189"/>
      <c r="L68" s="189"/>
      <c r="M68" s="116">
        <f>SUM(tbl_WohnsitzSO[[#This Row],[KLV A]:[KLV C]])</f>
        <v>0</v>
      </c>
      <c r="N68" s="117" t="str">
        <f>IFERROR(IF(IFERROR(MATCH($C$4&amp;$H68,Tabelle2[Codierung],0),0)&gt;0,VLOOKUP(H68,Tabelle1[[Ort]:[RK KLV C üD]],2,),VLOOKUP(H68,Tabelle1[[Ort]:[RK KLV C üD]],5)),"")</f>
        <v/>
      </c>
      <c r="O68" s="117" t="str">
        <f>IFERROR(IF(IFERROR(MATCH($C$4&amp;$H68,Tabelle2[Codierung],0),0)&gt;0,VLOOKUP(H68,Tabelle1[[Ort]:[RK KLV C üD]],3,),VLOOKUP(H68,Tabelle1[[Ort]:[RK KLV C üD]],6)),"")</f>
        <v/>
      </c>
      <c r="P68" s="117" t="str">
        <f>IFERROR(IF(IFERROR(MATCH($C$4&amp;$H68,Tabelle2[Codierung],0),0)&gt;0,VLOOKUP(H68,Tabelle1[[Ort]:[RK KLV C üD]],4,),VLOOKUP(H68,Tabelle1[[Ort]:[RK KLV C üD]],7)),"")</f>
        <v/>
      </c>
      <c r="Q68" s="118" t="str">
        <f>IFERROR(tbl_WohnsitzSO[[#This Row],[KLV A]]*tbl_WohnsitzSO[[#This Row],[KLV A Ansatz]]/60,"")</f>
        <v/>
      </c>
      <c r="R68" s="118" t="str">
        <f>IFERROR(tbl_WohnsitzSO[[#This Row],[KLV B]]*tbl_WohnsitzSO[[#This Row],[KLV B Ansatz]]/60,"")</f>
        <v/>
      </c>
      <c r="S68" s="118" t="str">
        <f>IFERROR(tbl_WohnsitzSO[[#This Row],[KLV C]]*tbl_WohnsitzSO[[#This Row],[KLV C Ansatz]]/60,"")</f>
        <v/>
      </c>
      <c r="T68" s="118">
        <f>IFERROR(SUM(tbl_WohnsitzSO[[#This Row],[KLV A Kosten]:[KLV C Kosten]]),"")</f>
        <v>0</v>
      </c>
      <c r="U68" s="116">
        <f>COUNTIF($H$12:$H68,H68)</f>
        <v>0</v>
      </c>
      <c r="V68" s="194"/>
      <c r="W68" s="194"/>
    </row>
    <row r="69" spans="1:23" x14ac:dyDescent="0.2">
      <c r="A69" s="115">
        <v>58</v>
      </c>
      <c r="B69" s="189"/>
      <c r="C69" s="189"/>
      <c r="D69" s="190"/>
      <c r="E69" s="191"/>
      <c r="F69" s="190"/>
      <c r="G69" s="189"/>
      <c r="H69" s="188"/>
      <c r="I69" s="189"/>
      <c r="J69" s="189"/>
      <c r="K69" s="189"/>
      <c r="L69" s="189"/>
      <c r="M69" s="116">
        <f>SUM(tbl_WohnsitzSO[[#This Row],[KLV A]:[KLV C]])</f>
        <v>0</v>
      </c>
      <c r="N69" s="117" t="str">
        <f>IFERROR(IF(IFERROR(MATCH($C$4&amp;$H69,Tabelle2[Codierung],0),0)&gt;0,VLOOKUP(H69,Tabelle1[[Ort]:[RK KLV C üD]],2,),VLOOKUP(H69,Tabelle1[[Ort]:[RK KLV C üD]],5)),"")</f>
        <v/>
      </c>
      <c r="O69" s="117" t="str">
        <f>IFERROR(IF(IFERROR(MATCH($C$4&amp;$H69,Tabelle2[Codierung],0),0)&gt;0,VLOOKUP(H69,Tabelle1[[Ort]:[RK KLV C üD]],3,),VLOOKUP(H69,Tabelle1[[Ort]:[RK KLV C üD]],6)),"")</f>
        <v/>
      </c>
      <c r="P69" s="117" t="str">
        <f>IFERROR(IF(IFERROR(MATCH($C$4&amp;$H69,Tabelle2[Codierung],0),0)&gt;0,VLOOKUP(H69,Tabelle1[[Ort]:[RK KLV C üD]],4,),VLOOKUP(H69,Tabelle1[[Ort]:[RK KLV C üD]],7)),"")</f>
        <v/>
      </c>
      <c r="Q69" s="118" t="str">
        <f>IFERROR(tbl_WohnsitzSO[[#This Row],[KLV A]]*tbl_WohnsitzSO[[#This Row],[KLV A Ansatz]]/60,"")</f>
        <v/>
      </c>
      <c r="R69" s="118" t="str">
        <f>IFERROR(tbl_WohnsitzSO[[#This Row],[KLV B]]*tbl_WohnsitzSO[[#This Row],[KLV B Ansatz]]/60,"")</f>
        <v/>
      </c>
      <c r="S69" s="118" t="str">
        <f>IFERROR(tbl_WohnsitzSO[[#This Row],[KLV C]]*tbl_WohnsitzSO[[#This Row],[KLV C Ansatz]]/60,"")</f>
        <v/>
      </c>
      <c r="T69" s="118">
        <f>IFERROR(SUM(tbl_WohnsitzSO[[#This Row],[KLV A Kosten]:[KLV C Kosten]]),"")</f>
        <v>0</v>
      </c>
      <c r="U69" s="116">
        <f>COUNTIF($H$12:$H69,H69)</f>
        <v>0</v>
      </c>
      <c r="V69" s="194"/>
      <c r="W69" s="194"/>
    </row>
    <row r="70" spans="1:23" x14ac:dyDescent="0.2">
      <c r="A70" s="115">
        <v>59</v>
      </c>
      <c r="B70" s="189"/>
      <c r="C70" s="189"/>
      <c r="D70" s="190"/>
      <c r="E70" s="191"/>
      <c r="F70" s="190"/>
      <c r="G70" s="189"/>
      <c r="H70" s="188"/>
      <c r="I70" s="189"/>
      <c r="J70" s="189"/>
      <c r="K70" s="189"/>
      <c r="L70" s="189"/>
      <c r="M70" s="116">
        <f>SUM(tbl_WohnsitzSO[[#This Row],[KLV A]:[KLV C]])</f>
        <v>0</v>
      </c>
      <c r="N70" s="117" t="str">
        <f>IFERROR(IF(IFERROR(MATCH($C$4&amp;$H70,Tabelle2[Codierung],0),0)&gt;0,VLOOKUP(H70,Tabelle1[[Ort]:[RK KLV C üD]],2,),VLOOKUP(H70,Tabelle1[[Ort]:[RK KLV C üD]],5)),"")</f>
        <v/>
      </c>
      <c r="O70" s="117" t="str">
        <f>IFERROR(IF(IFERROR(MATCH($C$4&amp;$H70,Tabelle2[Codierung],0),0)&gt;0,VLOOKUP(H70,Tabelle1[[Ort]:[RK KLV C üD]],3,),VLOOKUP(H70,Tabelle1[[Ort]:[RK KLV C üD]],6)),"")</f>
        <v/>
      </c>
      <c r="P70" s="117" t="str">
        <f>IFERROR(IF(IFERROR(MATCH($C$4&amp;$H70,Tabelle2[Codierung],0),0)&gt;0,VLOOKUP(H70,Tabelle1[[Ort]:[RK KLV C üD]],4,),VLOOKUP(H70,Tabelle1[[Ort]:[RK KLV C üD]],7)),"")</f>
        <v/>
      </c>
      <c r="Q70" s="118" t="str">
        <f>IFERROR(tbl_WohnsitzSO[[#This Row],[KLV A]]*tbl_WohnsitzSO[[#This Row],[KLV A Ansatz]]/60,"")</f>
        <v/>
      </c>
      <c r="R70" s="118" t="str">
        <f>IFERROR(tbl_WohnsitzSO[[#This Row],[KLV B]]*tbl_WohnsitzSO[[#This Row],[KLV B Ansatz]]/60,"")</f>
        <v/>
      </c>
      <c r="S70" s="118" t="str">
        <f>IFERROR(tbl_WohnsitzSO[[#This Row],[KLV C]]*tbl_WohnsitzSO[[#This Row],[KLV C Ansatz]]/60,"")</f>
        <v/>
      </c>
      <c r="T70" s="118">
        <f>IFERROR(SUM(tbl_WohnsitzSO[[#This Row],[KLV A Kosten]:[KLV C Kosten]]),"")</f>
        <v>0</v>
      </c>
      <c r="U70" s="116">
        <f>COUNTIF($H$12:$H70,H70)</f>
        <v>0</v>
      </c>
      <c r="V70" s="194"/>
      <c r="W70" s="194"/>
    </row>
    <row r="71" spans="1:23" x14ac:dyDescent="0.2">
      <c r="A71" s="115">
        <v>60</v>
      </c>
      <c r="B71" s="189"/>
      <c r="C71" s="189"/>
      <c r="D71" s="190"/>
      <c r="E71" s="191"/>
      <c r="F71" s="190"/>
      <c r="G71" s="189"/>
      <c r="H71" s="188"/>
      <c r="I71" s="189"/>
      <c r="J71" s="189"/>
      <c r="K71" s="189"/>
      <c r="L71" s="189"/>
      <c r="M71" s="116">
        <f>SUM(tbl_WohnsitzSO[[#This Row],[KLV A]:[KLV C]])</f>
        <v>0</v>
      </c>
      <c r="N71" s="117" t="str">
        <f>IFERROR(IF(IFERROR(MATCH($C$4&amp;$H71,Tabelle2[Codierung],0),0)&gt;0,VLOOKUP(H71,Tabelle1[[Ort]:[RK KLV C üD]],2,),VLOOKUP(H71,Tabelle1[[Ort]:[RK KLV C üD]],5)),"")</f>
        <v/>
      </c>
      <c r="O71" s="117" t="str">
        <f>IFERROR(IF(IFERROR(MATCH($C$4&amp;$H71,Tabelle2[Codierung],0),0)&gt;0,VLOOKUP(H71,Tabelle1[[Ort]:[RK KLV C üD]],3,),VLOOKUP(H71,Tabelle1[[Ort]:[RK KLV C üD]],6)),"")</f>
        <v/>
      </c>
      <c r="P71" s="117" t="str">
        <f>IFERROR(IF(IFERROR(MATCH($C$4&amp;$H71,Tabelle2[Codierung],0),0)&gt;0,VLOOKUP(H71,Tabelle1[[Ort]:[RK KLV C üD]],4,),VLOOKUP(H71,Tabelle1[[Ort]:[RK KLV C üD]],7)),"")</f>
        <v/>
      </c>
      <c r="Q71" s="118" t="str">
        <f>IFERROR(tbl_WohnsitzSO[[#This Row],[KLV A]]*tbl_WohnsitzSO[[#This Row],[KLV A Ansatz]]/60,"")</f>
        <v/>
      </c>
      <c r="R71" s="118" t="str">
        <f>IFERROR(tbl_WohnsitzSO[[#This Row],[KLV B]]*tbl_WohnsitzSO[[#This Row],[KLV B Ansatz]]/60,"")</f>
        <v/>
      </c>
      <c r="S71" s="118" t="str">
        <f>IFERROR(tbl_WohnsitzSO[[#This Row],[KLV C]]*tbl_WohnsitzSO[[#This Row],[KLV C Ansatz]]/60,"")</f>
        <v/>
      </c>
      <c r="T71" s="118">
        <f>IFERROR(SUM(tbl_WohnsitzSO[[#This Row],[KLV A Kosten]:[KLV C Kosten]]),"")</f>
        <v>0</v>
      </c>
      <c r="U71" s="116">
        <f>COUNTIF($H$12:$H71,H71)</f>
        <v>0</v>
      </c>
      <c r="V71" s="194"/>
      <c r="W71" s="194"/>
    </row>
    <row r="72" spans="1:23" ht="15" x14ac:dyDescent="0.25">
      <c r="A72" s="115">
        <v>61</v>
      </c>
      <c r="B72" s="189"/>
      <c r="C72" s="189"/>
      <c r="D72" s="190"/>
      <c r="E72" s="191"/>
      <c r="F72" s="190"/>
      <c r="G72" s="189"/>
      <c r="H72" s="188"/>
      <c r="I72" s="189"/>
      <c r="J72" s="189"/>
      <c r="K72" s="189"/>
      <c r="L72" s="189"/>
      <c r="M72" s="116">
        <f>SUM(tbl_WohnsitzSO[[#This Row],[KLV A]:[KLV C]])</f>
        <v>0</v>
      </c>
      <c r="N72" s="117" t="str">
        <f>IFERROR(IF(IFERROR(MATCH($C$4&amp;$H72,Tabelle2[Codierung],0),0)&gt;0,VLOOKUP(H72,Tabelle1[[Ort]:[RK KLV C üD]],2,),VLOOKUP(H72,Tabelle1[[Ort]:[RK KLV C üD]],5)),"")</f>
        <v/>
      </c>
      <c r="O72" s="117" t="str">
        <f>IFERROR(IF(IFERROR(MATCH($C$4&amp;$H72,Tabelle2[Codierung],0),0)&gt;0,VLOOKUP(H72,Tabelle1[[Ort]:[RK KLV C üD]],3,),VLOOKUP(H72,Tabelle1[[Ort]:[RK KLV C üD]],6)),"")</f>
        <v/>
      </c>
      <c r="P72" s="117" t="str">
        <f>IFERROR(IF(IFERROR(MATCH($C$4&amp;$H72,Tabelle2[Codierung],0),0)&gt;0,VLOOKUP(H72,Tabelle1[[Ort]:[RK KLV C üD]],4,),VLOOKUP(H72,Tabelle1[[Ort]:[RK KLV C üD]],7)),"")</f>
        <v/>
      </c>
      <c r="Q72" s="118" t="str">
        <f>IFERROR(tbl_WohnsitzSO[[#This Row],[KLV A]]*tbl_WohnsitzSO[[#This Row],[KLV A Ansatz]]/60,"")</f>
        <v/>
      </c>
      <c r="R72" s="118" t="str">
        <f>IFERROR(tbl_WohnsitzSO[[#This Row],[KLV B]]*tbl_WohnsitzSO[[#This Row],[KLV B Ansatz]]/60,"")</f>
        <v/>
      </c>
      <c r="S72" s="118" t="str">
        <f>IFERROR(tbl_WohnsitzSO[[#This Row],[KLV C]]*tbl_WohnsitzSO[[#This Row],[KLV C Ansatz]]/60,"")</f>
        <v/>
      </c>
      <c r="T72" s="118">
        <f>IFERROR(SUM(tbl_WohnsitzSO[[#This Row],[KLV A Kosten]:[KLV C Kosten]]),"")</f>
        <v>0</v>
      </c>
      <c r="U72" s="119">
        <f>COUNTIF($H$12:$H111,H72)</f>
        <v>0</v>
      </c>
      <c r="V72" s="194"/>
      <c r="W72" s="194"/>
    </row>
    <row r="73" spans="1:23" ht="15" x14ac:dyDescent="0.25">
      <c r="A73" s="115">
        <v>62</v>
      </c>
      <c r="B73" s="189"/>
      <c r="C73" s="189"/>
      <c r="D73" s="190"/>
      <c r="E73" s="191"/>
      <c r="F73" s="190"/>
      <c r="G73" s="189"/>
      <c r="H73" s="188"/>
      <c r="I73" s="189"/>
      <c r="J73" s="189"/>
      <c r="K73" s="189"/>
      <c r="L73" s="189"/>
      <c r="M73" s="177">
        <f>SUM(tbl_WohnsitzSO[[#This Row],[KLV A]:[KLV C]])</f>
        <v>0</v>
      </c>
      <c r="N73" s="117" t="str">
        <f>IFERROR(IF(IFERROR(MATCH($C$4&amp;$H73,Tabelle2[Codierung],0),0)&gt;0,VLOOKUP(H73,Tabelle1[[Ort]:[RK KLV C üD]],2,),VLOOKUP(H73,Tabelle1[[Ort]:[RK KLV C üD]],5)),"")</f>
        <v/>
      </c>
      <c r="O73" s="117" t="str">
        <f>IFERROR(IF(IFERROR(MATCH($C$4&amp;$H73,Tabelle2[Codierung],0),0)&gt;0,VLOOKUP(H73,Tabelle1[[Ort]:[RK KLV C üD]],3,),VLOOKUP(H73,Tabelle1[[Ort]:[RK KLV C üD]],6)),"")</f>
        <v/>
      </c>
      <c r="P73" s="117" t="str">
        <f>IFERROR(IF(IFERROR(MATCH($C$4&amp;$H73,Tabelle2[Codierung],0),0)&gt;0,VLOOKUP(H73,Tabelle1[[Ort]:[RK KLV C üD]],4,),VLOOKUP(H73,Tabelle1[[Ort]:[RK KLV C üD]],7)),"")</f>
        <v/>
      </c>
      <c r="Q73" s="118" t="str">
        <f>IFERROR(tbl_WohnsitzSO[[#This Row],[KLV A]]*tbl_WohnsitzSO[[#This Row],[KLV A Ansatz]]/60,"")</f>
        <v/>
      </c>
      <c r="R73" s="118" t="str">
        <f>IFERROR(tbl_WohnsitzSO[[#This Row],[KLV B]]*tbl_WohnsitzSO[[#This Row],[KLV B Ansatz]]/60,"")</f>
        <v/>
      </c>
      <c r="S73" s="118" t="str">
        <f>IFERROR(tbl_WohnsitzSO[[#This Row],[KLV C]]*tbl_WohnsitzSO[[#This Row],[KLV C Ansatz]]/60,"")</f>
        <v/>
      </c>
      <c r="T73" s="118">
        <f>IFERROR(SUM(tbl_WohnsitzSO[[#This Row],[KLV A Kosten]:[KLV C Kosten]]),"")</f>
        <v>0</v>
      </c>
      <c r="U73" s="119">
        <f>COUNTIF($H$12:$H111,H73)</f>
        <v>0</v>
      </c>
      <c r="V73" s="194"/>
      <c r="W73" s="194"/>
    </row>
    <row r="74" spans="1:23" x14ac:dyDescent="0.2">
      <c r="A74" s="115">
        <v>63</v>
      </c>
      <c r="B74" s="189"/>
      <c r="C74" s="189"/>
      <c r="D74" s="190"/>
      <c r="E74" s="191"/>
      <c r="F74" s="190"/>
      <c r="G74" s="189"/>
      <c r="H74" s="188"/>
      <c r="I74" s="189"/>
      <c r="J74" s="189"/>
      <c r="K74" s="189"/>
      <c r="L74" s="189"/>
      <c r="M74" s="177">
        <f>SUM(tbl_WohnsitzSO[[#This Row],[KLV A]:[KLV C]])</f>
        <v>0</v>
      </c>
      <c r="N74" s="117" t="str">
        <f>IFERROR(IF(IFERROR(MATCH($C$4&amp;$H74,Tabelle2[Codierung],0),0)&gt;0,VLOOKUP(H74,Tabelle1[[Ort]:[RK KLV C üD]],2,),VLOOKUP(H74,Tabelle1[[Ort]:[RK KLV C üD]],5)),"")</f>
        <v/>
      </c>
      <c r="O74" s="117" t="str">
        <f>IFERROR(IF(IFERROR(MATCH($C$4&amp;$H74,Tabelle2[Codierung],0),0)&gt;0,VLOOKUP(H74,Tabelle1[[Ort]:[RK KLV C üD]],3,),VLOOKUP(H74,Tabelle1[[Ort]:[RK KLV C üD]],6)),"")</f>
        <v/>
      </c>
      <c r="P74" s="117" t="str">
        <f>IFERROR(IF(IFERROR(MATCH($C$4&amp;$H74,Tabelle2[Codierung],0),0)&gt;0,VLOOKUP(H74,Tabelle1[[Ort]:[RK KLV C üD]],4,),VLOOKUP(H74,Tabelle1[[Ort]:[RK KLV C üD]],7)),"")</f>
        <v/>
      </c>
      <c r="Q74" s="118" t="str">
        <f>IFERROR(tbl_WohnsitzSO[[#This Row],[KLV A]]*tbl_WohnsitzSO[[#This Row],[KLV A Ansatz]]/60,"")</f>
        <v/>
      </c>
      <c r="R74" s="118" t="str">
        <f>IFERROR(tbl_WohnsitzSO[[#This Row],[KLV B]]*tbl_WohnsitzSO[[#This Row],[KLV B Ansatz]]/60,"")</f>
        <v/>
      </c>
      <c r="S74" s="118" t="str">
        <f>IFERROR(tbl_WohnsitzSO[[#This Row],[KLV C]]*tbl_WohnsitzSO[[#This Row],[KLV C Ansatz]]/60,"")</f>
        <v/>
      </c>
      <c r="T74" s="118">
        <f>IFERROR(SUM(tbl_WohnsitzSO[[#This Row],[KLV A Kosten]:[KLV C Kosten]]),"")</f>
        <v>0</v>
      </c>
      <c r="U74" s="116">
        <f>COUNTIF($H$12:$H74,H74)</f>
        <v>0</v>
      </c>
      <c r="V74" s="194"/>
      <c r="W74" s="194"/>
    </row>
    <row r="75" spans="1:23" x14ac:dyDescent="0.2">
      <c r="A75" s="115">
        <v>64</v>
      </c>
      <c r="B75" s="189"/>
      <c r="C75" s="189"/>
      <c r="D75" s="190"/>
      <c r="E75" s="191"/>
      <c r="F75" s="190"/>
      <c r="G75" s="189"/>
      <c r="H75" s="188"/>
      <c r="I75" s="189"/>
      <c r="J75" s="189"/>
      <c r="K75" s="189"/>
      <c r="L75" s="189"/>
      <c r="M75" s="177">
        <f>SUM(tbl_WohnsitzSO[[#This Row],[KLV A]:[KLV C]])</f>
        <v>0</v>
      </c>
      <c r="N75" s="117" t="str">
        <f>IFERROR(IF(IFERROR(MATCH($C$4&amp;$H75,Tabelle2[Codierung],0),0)&gt;0,VLOOKUP(H75,Tabelle1[[Ort]:[RK KLV C üD]],2,),VLOOKUP(H75,Tabelle1[[Ort]:[RK KLV C üD]],5)),"")</f>
        <v/>
      </c>
      <c r="O75" s="117" t="str">
        <f>IFERROR(IF(IFERROR(MATCH($C$4&amp;$H75,Tabelle2[Codierung],0),0)&gt;0,VLOOKUP(H75,Tabelle1[[Ort]:[RK KLV C üD]],3,),VLOOKUP(H75,Tabelle1[[Ort]:[RK KLV C üD]],6)),"")</f>
        <v/>
      </c>
      <c r="P75" s="117" t="str">
        <f>IFERROR(IF(IFERROR(MATCH($C$4&amp;$H75,Tabelle2[Codierung],0),0)&gt;0,VLOOKUP(H75,Tabelle1[[Ort]:[RK KLV C üD]],4,),VLOOKUP(H75,Tabelle1[[Ort]:[RK KLV C üD]],7)),"")</f>
        <v/>
      </c>
      <c r="Q75" s="118" t="str">
        <f>IFERROR(tbl_WohnsitzSO[[#This Row],[KLV A]]*tbl_WohnsitzSO[[#This Row],[KLV A Ansatz]]/60,"")</f>
        <v/>
      </c>
      <c r="R75" s="118" t="str">
        <f>IFERROR(tbl_WohnsitzSO[[#This Row],[KLV B]]*tbl_WohnsitzSO[[#This Row],[KLV B Ansatz]]/60,"")</f>
        <v/>
      </c>
      <c r="S75" s="118" t="str">
        <f>IFERROR(tbl_WohnsitzSO[[#This Row],[KLV C]]*tbl_WohnsitzSO[[#This Row],[KLV C Ansatz]]/60,"")</f>
        <v/>
      </c>
      <c r="T75" s="118">
        <f>IFERROR(SUM(tbl_WohnsitzSO[[#This Row],[KLV A Kosten]:[KLV C Kosten]]),"")</f>
        <v>0</v>
      </c>
      <c r="U75" s="116">
        <f>COUNTIF($H$12:$H75,H75)</f>
        <v>0</v>
      </c>
      <c r="V75" s="194"/>
      <c r="W75" s="194"/>
    </row>
    <row r="76" spans="1:23" x14ac:dyDescent="0.2">
      <c r="A76" s="115">
        <v>65</v>
      </c>
      <c r="B76" s="189"/>
      <c r="C76" s="189"/>
      <c r="D76" s="190"/>
      <c r="E76" s="191"/>
      <c r="F76" s="190"/>
      <c r="G76" s="189"/>
      <c r="H76" s="188"/>
      <c r="I76" s="189"/>
      <c r="J76" s="189"/>
      <c r="K76" s="189"/>
      <c r="L76" s="189"/>
      <c r="M76" s="177">
        <f>SUM(tbl_WohnsitzSO[[#This Row],[KLV A]:[KLV C]])</f>
        <v>0</v>
      </c>
      <c r="N76" s="117" t="str">
        <f>IFERROR(IF(IFERROR(MATCH($C$4&amp;$H76,Tabelle2[Codierung],0),0)&gt;0,VLOOKUP(H76,Tabelle1[[Ort]:[RK KLV C üD]],2,),VLOOKUP(H76,Tabelle1[[Ort]:[RK KLV C üD]],5)),"")</f>
        <v/>
      </c>
      <c r="O76" s="117" t="str">
        <f>IFERROR(IF(IFERROR(MATCH($C$4&amp;$H76,Tabelle2[Codierung],0),0)&gt;0,VLOOKUP(H76,Tabelle1[[Ort]:[RK KLV C üD]],3,),VLOOKUP(H76,Tabelle1[[Ort]:[RK KLV C üD]],6)),"")</f>
        <v/>
      </c>
      <c r="P76" s="117" t="str">
        <f>IFERROR(IF(IFERROR(MATCH($C$4&amp;$H76,Tabelle2[Codierung],0),0)&gt;0,VLOOKUP(H76,Tabelle1[[Ort]:[RK KLV C üD]],4,),VLOOKUP(H76,Tabelle1[[Ort]:[RK KLV C üD]],7)),"")</f>
        <v/>
      </c>
      <c r="Q76" s="118" t="str">
        <f>IFERROR(tbl_WohnsitzSO[[#This Row],[KLV A]]*tbl_WohnsitzSO[[#This Row],[KLV A Ansatz]]/60,"")</f>
        <v/>
      </c>
      <c r="R76" s="118" t="str">
        <f>IFERROR(tbl_WohnsitzSO[[#This Row],[KLV B]]*tbl_WohnsitzSO[[#This Row],[KLV B Ansatz]]/60,"")</f>
        <v/>
      </c>
      <c r="S76" s="118" t="str">
        <f>IFERROR(tbl_WohnsitzSO[[#This Row],[KLV C]]*tbl_WohnsitzSO[[#This Row],[KLV C Ansatz]]/60,"")</f>
        <v/>
      </c>
      <c r="T76" s="118">
        <f>IFERROR(SUM(tbl_WohnsitzSO[[#This Row],[KLV A Kosten]:[KLV C Kosten]]),"")</f>
        <v>0</v>
      </c>
      <c r="U76" s="116">
        <f>COUNTIF($H$12:$H76,H76)</f>
        <v>0</v>
      </c>
      <c r="V76" s="194"/>
      <c r="W76" s="194"/>
    </row>
    <row r="77" spans="1:23" x14ac:dyDescent="0.2">
      <c r="A77" s="115">
        <v>66</v>
      </c>
      <c r="B77" s="189"/>
      <c r="C77" s="189"/>
      <c r="D77" s="190"/>
      <c r="E77" s="191"/>
      <c r="F77" s="190"/>
      <c r="G77" s="189"/>
      <c r="H77" s="188"/>
      <c r="I77" s="189"/>
      <c r="J77" s="189"/>
      <c r="K77" s="189"/>
      <c r="L77" s="189"/>
      <c r="M77" s="177">
        <f>SUM(tbl_WohnsitzSO[[#This Row],[KLV A]:[KLV C]])</f>
        <v>0</v>
      </c>
      <c r="N77" s="117" t="str">
        <f>IFERROR(IF(IFERROR(MATCH($C$4&amp;$H77,Tabelle2[Codierung],0),0)&gt;0,VLOOKUP(H77,Tabelle1[[Ort]:[RK KLV C üD]],2,),VLOOKUP(H77,Tabelle1[[Ort]:[RK KLV C üD]],5)),"")</f>
        <v/>
      </c>
      <c r="O77" s="117" t="str">
        <f>IFERROR(IF(IFERROR(MATCH($C$4&amp;$H77,Tabelle2[Codierung],0),0)&gt;0,VLOOKUP(H77,Tabelle1[[Ort]:[RK KLV C üD]],3,),VLOOKUP(H77,Tabelle1[[Ort]:[RK KLV C üD]],6)),"")</f>
        <v/>
      </c>
      <c r="P77" s="117" t="str">
        <f>IFERROR(IF(IFERROR(MATCH($C$4&amp;$H77,Tabelle2[Codierung],0),0)&gt;0,VLOOKUP(H77,Tabelle1[[Ort]:[RK KLV C üD]],4,),VLOOKUP(H77,Tabelle1[[Ort]:[RK KLV C üD]],7)),"")</f>
        <v/>
      </c>
      <c r="Q77" s="118" t="str">
        <f>IFERROR(tbl_WohnsitzSO[[#This Row],[KLV A]]*tbl_WohnsitzSO[[#This Row],[KLV A Ansatz]]/60,"")</f>
        <v/>
      </c>
      <c r="R77" s="118" t="str">
        <f>IFERROR(tbl_WohnsitzSO[[#This Row],[KLV B]]*tbl_WohnsitzSO[[#This Row],[KLV B Ansatz]]/60,"")</f>
        <v/>
      </c>
      <c r="S77" s="118" t="str">
        <f>IFERROR(tbl_WohnsitzSO[[#This Row],[KLV C]]*tbl_WohnsitzSO[[#This Row],[KLV C Ansatz]]/60,"")</f>
        <v/>
      </c>
      <c r="T77" s="118">
        <f>IFERROR(SUM(tbl_WohnsitzSO[[#This Row],[KLV A Kosten]:[KLV C Kosten]]),"")</f>
        <v>0</v>
      </c>
      <c r="U77" s="116">
        <f>COUNTIF($H$12:$H77,H77)</f>
        <v>0</v>
      </c>
      <c r="V77" s="194"/>
      <c r="W77" s="194"/>
    </row>
    <row r="78" spans="1:23" x14ac:dyDescent="0.2">
      <c r="A78" s="115">
        <v>67</v>
      </c>
      <c r="B78" s="189"/>
      <c r="C78" s="189"/>
      <c r="D78" s="190"/>
      <c r="E78" s="191"/>
      <c r="F78" s="190"/>
      <c r="G78" s="189"/>
      <c r="H78" s="188"/>
      <c r="I78" s="189"/>
      <c r="J78" s="189"/>
      <c r="K78" s="189"/>
      <c r="L78" s="189"/>
      <c r="M78" s="177">
        <f>SUM(tbl_WohnsitzSO[[#This Row],[KLV A]:[KLV C]])</f>
        <v>0</v>
      </c>
      <c r="N78" s="117" t="str">
        <f>IFERROR(IF(IFERROR(MATCH($C$4&amp;$H78,Tabelle2[Codierung],0),0)&gt;0,VLOOKUP(H78,Tabelle1[[Ort]:[RK KLV C üD]],2,),VLOOKUP(H78,Tabelle1[[Ort]:[RK KLV C üD]],5)),"")</f>
        <v/>
      </c>
      <c r="O78" s="117" t="str">
        <f>IFERROR(IF(IFERROR(MATCH($C$4&amp;$H78,Tabelle2[Codierung],0),0)&gt;0,VLOOKUP(H78,Tabelle1[[Ort]:[RK KLV C üD]],3,),VLOOKUP(H78,Tabelle1[[Ort]:[RK KLV C üD]],6)),"")</f>
        <v/>
      </c>
      <c r="P78" s="117" t="str">
        <f>IFERROR(IF(IFERROR(MATCH($C$4&amp;$H78,Tabelle2[Codierung],0),0)&gt;0,VLOOKUP(H78,Tabelle1[[Ort]:[RK KLV C üD]],4,),VLOOKUP(H78,Tabelle1[[Ort]:[RK KLV C üD]],7)),"")</f>
        <v/>
      </c>
      <c r="Q78" s="118" t="str">
        <f>IFERROR(tbl_WohnsitzSO[[#This Row],[KLV A]]*tbl_WohnsitzSO[[#This Row],[KLV A Ansatz]]/60,"")</f>
        <v/>
      </c>
      <c r="R78" s="118" t="str">
        <f>IFERROR(tbl_WohnsitzSO[[#This Row],[KLV B]]*tbl_WohnsitzSO[[#This Row],[KLV B Ansatz]]/60,"")</f>
        <v/>
      </c>
      <c r="S78" s="118" t="str">
        <f>IFERROR(tbl_WohnsitzSO[[#This Row],[KLV C]]*tbl_WohnsitzSO[[#This Row],[KLV C Ansatz]]/60,"")</f>
        <v/>
      </c>
      <c r="T78" s="118">
        <f>IFERROR(SUM(tbl_WohnsitzSO[[#This Row],[KLV A Kosten]:[KLV C Kosten]]),"")</f>
        <v>0</v>
      </c>
      <c r="U78" s="116">
        <f>COUNTIF($H$12:$H78,H78)</f>
        <v>0</v>
      </c>
      <c r="V78" s="194"/>
      <c r="W78" s="194"/>
    </row>
    <row r="79" spans="1:23" x14ac:dyDescent="0.2">
      <c r="A79" s="115">
        <v>68</v>
      </c>
      <c r="B79" s="189"/>
      <c r="C79" s="189"/>
      <c r="D79" s="190"/>
      <c r="E79" s="191"/>
      <c r="F79" s="190"/>
      <c r="G79" s="189"/>
      <c r="H79" s="188"/>
      <c r="I79" s="189"/>
      <c r="J79" s="189"/>
      <c r="K79" s="189"/>
      <c r="L79" s="189"/>
      <c r="M79" s="177">
        <f>SUM(tbl_WohnsitzSO[[#This Row],[KLV A]:[KLV C]])</f>
        <v>0</v>
      </c>
      <c r="N79" s="117" t="str">
        <f>IFERROR(IF(IFERROR(MATCH($C$4&amp;$H79,Tabelle2[Codierung],0),0)&gt;0,VLOOKUP(H79,Tabelle1[[Ort]:[RK KLV C üD]],2,),VLOOKUP(H79,Tabelle1[[Ort]:[RK KLV C üD]],5)),"")</f>
        <v/>
      </c>
      <c r="O79" s="117" t="str">
        <f>IFERROR(IF(IFERROR(MATCH($C$4&amp;$H79,Tabelle2[Codierung],0),0)&gt;0,VLOOKUP(H79,Tabelle1[[Ort]:[RK KLV C üD]],3,),VLOOKUP(H79,Tabelle1[[Ort]:[RK KLV C üD]],6)),"")</f>
        <v/>
      </c>
      <c r="P79" s="117" t="str">
        <f>IFERROR(IF(IFERROR(MATCH($C$4&amp;$H79,Tabelle2[Codierung],0),0)&gt;0,VLOOKUP(H79,Tabelle1[[Ort]:[RK KLV C üD]],4,),VLOOKUP(H79,Tabelle1[[Ort]:[RK KLV C üD]],7)),"")</f>
        <v/>
      </c>
      <c r="Q79" s="118" t="str">
        <f>IFERROR(tbl_WohnsitzSO[[#This Row],[KLV A]]*tbl_WohnsitzSO[[#This Row],[KLV A Ansatz]]/60,"")</f>
        <v/>
      </c>
      <c r="R79" s="118" t="str">
        <f>IFERROR(tbl_WohnsitzSO[[#This Row],[KLV B]]*tbl_WohnsitzSO[[#This Row],[KLV B Ansatz]]/60,"")</f>
        <v/>
      </c>
      <c r="S79" s="118" t="str">
        <f>IFERROR(tbl_WohnsitzSO[[#This Row],[KLV C]]*tbl_WohnsitzSO[[#This Row],[KLV C Ansatz]]/60,"")</f>
        <v/>
      </c>
      <c r="T79" s="118">
        <f>IFERROR(SUM(tbl_WohnsitzSO[[#This Row],[KLV A Kosten]:[KLV C Kosten]]),"")</f>
        <v>0</v>
      </c>
      <c r="U79" s="116">
        <f>COUNTIF($H$12:$H79,H79)</f>
        <v>0</v>
      </c>
      <c r="V79" s="194"/>
      <c r="W79" s="194"/>
    </row>
    <row r="80" spans="1:23" x14ac:dyDescent="0.2">
      <c r="A80" s="115">
        <v>69</v>
      </c>
      <c r="B80" s="189"/>
      <c r="C80" s="189"/>
      <c r="D80" s="190"/>
      <c r="E80" s="191"/>
      <c r="F80" s="190"/>
      <c r="G80" s="189"/>
      <c r="H80" s="188"/>
      <c r="I80" s="189"/>
      <c r="J80" s="189"/>
      <c r="K80" s="189"/>
      <c r="L80" s="189"/>
      <c r="M80" s="177">
        <f>SUM(tbl_WohnsitzSO[[#This Row],[KLV A]:[KLV C]])</f>
        <v>0</v>
      </c>
      <c r="N80" s="117" t="str">
        <f>IFERROR(IF(IFERROR(MATCH($C$4&amp;$H80,Tabelle2[Codierung],0),0)&gt;0,VLOOKUP(H80,Tabelle1[[Ort]:[RK KLV C üD]],2,),VLOOKUP(H80,Tabelle1[[Ort]:[RK KLV C üD]],5)),"")</f>
        <v/>
      </c>
      <c r="O80" s="117" t="str">
        <f>IFERROR(IF(IFERROR(MATCH($C$4&amp;$H80,Tabelle2[Codierung],0),0)&gt;0,VLOOKUP(H80,Tabelle1[[Ort]:[RK KLV C üD]],3,),VLOOKUP(H80,Tabelle1[[Ort]:[RK KLV C üD]],6)),"")</f>
        <v/>
      </c>
      <c r="P80" s="117" t="str">
        <f>IFERROR(IF(IFERROR(MATCH($C$4&amp;$H80,Tabelle2[Codierung],0),0)&gt;0,VLOOKUP(H80,Tabelle1[[Ort]:[RK KLV C üD]],4,),VLOOKUP(H80,Tabelle1[[Ort]:[RK KLV C üD]],7)),"")</f>
        <v/>
      </c>
      <c r="Q80" s="118" t="str">
        <f>IFERROR(tbl_WohnsitzSO[[#This Row],[KLV A]]*tbl_WohnsitzSO[[#This Row],[KLV A Ansatz]]/60,"")</f>
        <v/>
      </c>
      <c r="R80" s="118" t="str">
        <f>IFERROR(tbl_WohnsitzSO[[#This Row],[KLV B]]*tbl_WohnsitzSO[[#This Row],[KLV B Ansatz]]/60,"")</f>
        <v/>
      </c>
      <c r="S80" s="118" t="str">
        <f>IFERROR(tbl_WohnsitzSO[[#This Row],[KLV C]]*tbl_WohnsitzSO[[#This Row],[KLV C Ansatz]]/60,"")</f>
        <v/>
      </c>
      <c r="T80" s="118">
        <f>IFERROR(SUM(tbl_WohnsitzSO[[#This Row],[KLV A Kosten]:[KLV C Kosten]]),"")</f>
        <v>0</v>
      </c>
      <c r="U80" s="116">
        <f>COUNTIF($H$12:$H80,H80)</f>
        <v>0</v>
      </c>
      <c r="V80" s="194"/>
      <c r="W80" s="194"/>
    </row>
    <row r="81" spans="1:23" x14ac:dyDescent="0.2">
      <c r="A81" s="115">
        <v>70</v>
      </c>
      <c r="B81" s="189"/>
      <c r="C81" s="189"/>
      <c r="D81" s="190"/>
      <c r="E81" s="191"/>
      <c r="F81" s="190"/>
      <c r="G81" s="189"/>
      <c r="H81" s="188"/>
      <c r="I81" s="189"/>
      <c r="J81" s="189"/>
      <c r="K81" s="189"/>
      <c r="L81" s="189"/>
      <c r="M81" s="177">
        <f>SUM(tbl_WohnsitzSO[[#This Row],[KLV A]:[KLV C]])</f>
        <v>0</v>
      </c>
      <c r="N81" s="117" t="str">
        <f>IFERROR(IF(IFERROR(MATCH($C$4&amp;$H81,Tabelle2[Codierung],0),0)&gt;0,VLOOKUP(H81,Tabelle1[[Ort]:[RK KLV C üD]],2,),VLOOKUP(H81,Tabelle1[[Ort]:[RK KLV C üD]],5)),"")</f>
        <v/>
      </c>
      <c r="O81" s="117" t="str">
        <f>IFERROR(IF(IFERROR(MATCH($C$4&amp;$H81,Tabelle2[Codierung],0),0)&gt;0,VLOOKUP(H81,Tabelle1[[Ort]:[RK KLV C üD]],3,),VLOOKUP(H81,Tabelle1[[Ort]:[RK KLV C üD]],6)),"")</f>
        <v/>
      </c>
      <c r="P81" s="117" t="str">
        <f>IFERROR(IF(IFERROR(MATCH($C$4&amp;$H81,Tabelle2[Codierung],0),0)&gt;0,VLOOKUP(H81,Tabelle1[[Ort]:[RK KLV C üD]],4,),VLOOKUP(H81,Tabelle1[[Ort]:[RK KLV C üD]],7)),"")</f>
        <v/>
      </c>
      <c r="Q81" s="118" t="str">
        <f>IFERROR(tbl_WohnsitzSO[[#This Row],[KLV A]]*tbl_WohnsitzSO[[#This Row],[KLV A Ansatz]]/60,"")</f>
        <v/>
      </c>
      <c r="R81" s="118" t="str">
        <f>IFERROR(tbl_WohnsitzSO[[#This Row],[KLV B]]*tbl_WohnsitzSO[[#This Row],[KLV B Ansatz]]/60,"")</f>
        <v/>
      </c>
      <c r="S81" s="118" t="str">
        <f>IFERROR(tbl_WohnsitzSO[[#This Row],[KLV C]]*tbl_WohnsitzSO[[#This Row],[KLV C Ansatz]]/60,"")</f>
        <v/>
      </c>
      <c r="T81" s="118">
        <f>IFERROR(SUM(tbl_WohnsitzSO[[#This Row],[KLV A Kosten]:[KLV C Kosten]]),"")</f>
        <v>0</v>
      </c>
      <c r="U81" s="116">
        <f>COUNTIF($H$12:$H81,H81)</f>
        <v>0</v>
      </c>
      <c r="V81" s="194"/>
      <c r="W81" s="194"/>
    </row>
    <row r="82" spans="1:23" x14ac:dyDescent="0.2">
      <c r="A82" s="115">
        <v>71</v>
      </c>
      <c r="B82" s="189"/>
      <c r="C82" s="189"/>
      <c r="D82" s="190"/>
      <c r="E82" s="191"/>
      <c r="F82" s="190"/>
      <c r="G82" s="189"/>
      <c r="H82" s="188"/>
      <c r="I82" s="189"/>
      <c r="J82" s="189"/>
      <c r="K82" s="189"/>
      <c r="L82" s="189"/>
      <c r="M82" s="177">
        <f>SUM(tbl_WohnsitzSO[[#This Row],[KLV A]:[KLV C]])</f>
        <v>0</v>
      </c>
      <c r="N82" s="117" t="str">
        <f>IFERROR(IF(IFERROR(MATCH($C$4&amp;$H82,Tabelle2[Codierung],0),0)&gt;0,VLOOKUP(H82,Tabelle1[[Ort]:[RK KLV C üD]],2,),VLOOKUP(H82,Tabelle1[[Ort]:[RK KLV C üD]],5)),"")</f>
        <v/>
      </c>
      <c r="O82" s="117" t="str">
        <f>IFERROR(IF(IFERROR(MATCH($C$4&amp;$H82,Tabelle2[Codierung],0),0)&gt;0,VLOOKUP(H82,Tabelle1[[Ort]:[RK KLV C üD]],3,),VLOOKUP(H82,Tabelle1[[Ort]:[RK KLV C üD]],6)),"")</f>
        <v/>
      </c>
      <c r="P82" s="117" t="str">
        <f>IFERROR(IF(IFERROR(MATCH($C$4&amp;$H82,Tabelle2[Codierung],0),0)&gt;0,VLOOKUP(H82,Tabelle1[[Ort]:[RK KLV C üD]],4,),VLOOKUP(H82,Tabelle1[[Ort]:[RK KLV C üD]],7)),"")</f>
        <v/>
      </c>
      <c r="Q82" s="118" t="str">
        <f>IFERROR(tbl_WohnsitzSO[[#This Row],[KLV A]]*tbl_WohnsitzSO[[#This Row],[KLV A Ansatz]]/60,"")</f>
        <v/>
      </c>
      <c r="R82" s="118" t="str">
        <f>IFERROR(tbl_WohnsitzSO[[#This Row],[KLV B]]*tbl_WohnsitzSO[[#This Row],[KLV B Ansatz]]/60,"")</f>
        <v/>
      </c>
      <c r="S82" s="118" t="str">
        <f>IFERROR(tbl_WohnsitzSO[[#This Row],[KLV C]]*tbl_WohnsitzSO[[#This Row],[KLV C Ansatz]]/60,"")</f>
        <v/>
      </c>
      <c r="T82" s="118">
        <f>IFERROR(SUM(tbl_WohnsitzSO[[#This Row],[KLV A Kosten]:[KLV C Kosten]]),"")</f>
        <v>0</v>
      </c>
      <c r="U82" s="116">
        <f>COUNTIF($H$12:$H82,H82)</f>
        <v>0</v>
      </c>
      <c r="V82" s="194"/>
      <c r="W82" s="194"/>
    </row>
    <row r="83" spans="1:23" x14ac:dyDescent="0.2">
      <c r="A83" s="115">
        <v>72</v>
      </c>
      <c r="B83" s="189"/>
      <c r="C83" s="189"/>
      <c r="D83" s="190"/>
      <c r="E83" s="191"/>
      <c r="F83" s="190"/>
      <c r="G83" s="189"/>
      <c r="H83" s="188"/>
      <c r="I83" s="189"/>
      <c r="J83" s="189"/>
      <c r="K83" s="189"/>
      <c r="L83" s="189"/>
      <c r="M83" s="177">
        <f>SUM(tbl_WohnsitzSO[[#This Row],[KLV A]:[KLV C]])</f>
        <v>0</v>
      </c>
      <c r="N83" s="117" t="str">
        <f>IFERROR(IF(IFERROR(MATCH($C$4&amp;$H83,Tabelle2[Codierung],0),0)&gt;0,VLOOKUP(H83,Tabelle1[[Ort]:[RK KLV C üD]],2,),VLOOKUP(H83,Tabelle1[[Ort]:[RK KLV C üD]],5)),"")</f>
        <v/>
      </c>
      <c r="O83" s="117" t="str">
        <f>IFERROR(IF(IFERROR(MATCH($C$4&amp;$H83,Tabelle2[Codierung],0),0)&gt;0,VLOOKUP(H83,Tabelle1[[Ort]:[RK KLV C üD]],3,),VLOOKUP(H83,Tabelle1[[Ort]:[RK KLV C üD]],6)),"")</f>
        <v/>
      </c>
      <c r="P83" s="117" t="str">
        <f>IFERROR(IF(IFERROR(MATCH($C$4&amp;$H83,Tabelle2[Codierung],0),0)&gt;0,VLOOKUP(H83,Tabelle1[[Ort]:[RK KLV C üD]],4,),VLOOKUP(H83,Tabelle1[[Ort]:[RK KLV C üD]],7)),"")</f>
        <v/>
      </c>
      <c r="Q83" s="118" t="str">
        <f>IFERROR(tbl_WohnsitzSO[[#This Row],[KLV A]]*tbl_WohnsitzSO[[#This Row],[KLV A Ansatz]]/60,"")</f>
        <v/>
      </c>
      <c r="R83" s="118" t="str">
        <f>IFERROR(tbl_WohnsitzSO[[#This Row],[KLV B]]*tbl_WohnsitzSO[[#This Row],[KLV B Ansatz]]/60,"")</f>
        <v/>
      </c>
      <c r="S83" s="118" t="str">
        <f>IFERROR(tbl_WohnsitzSO[[#This Row],[KLV C]]*tbl_WohnsitzSO[[#This Row],[KLV C Ansatz]]/60,"")</f>
        <v/>
      </c>
      <c r="T83" s="118">
        <f>IFERROR(SUM(tbl_WohnsitzSO[[#This Row],[KLV A Kosten]:[KLV C Kosten]]),"")</f>
        <v>0</v>
      </c>
      <c r="U83" s="116">
        <f>COUNTIF($H$12:$H83,H83)</f>
        <v>0</v>
      </c>
      <c r="V83" s="194"/>
      <c r="W83" s="194"/>
    </row>
    <row r="84" spans="1:23" x14ac:dyDescent="0.2">
      <c r="A84" s="115">
        <v>73</v>
      </c>
      <c r="B84" s="189"/>
      <c r="C84" s="189"/>
      <c r="D84" s="190"/>
      <c r="E84" s="191"/>
      <c r="F84" s="190"/>
      <c r="G84" s="189"/>
      <c r="H84" s="188"/>
      <c r="I84" s="189"/>
      <c r="J84" s="189"/>
      <c r="K84" s="189"/>
      <c r="L84" s="189"/>
      <c r="M84" s="177">
        <f>SUM(tbl_WohnsitzSO[[#This Row],[KLV A]:[KLV C]])</f>
        <v>0</v>
      </c>
      <c r="N84" s="117" t="str">
        <f>IFERROR(IF(IFERROR(MATCH($C$4&amp;$H84,Tabelle2[Codierung],0),0)&gt;0,VLOOKUP(H84,Tabelle1[[Ort]:[RK KLV C üD]],2,),VLOOKUP(H84,Tabelle1[[Ort]:[RK KLV C üD]],5)),"")</f>
        <v/>
      </c>
      <c r="O84" s="117" t="str">
        <f>IFERROR(IF(IFERROR(MATCH($C$4&amp;$H84,Tabelle2[Codierung],0),0)&gt;0,VLOOKUP(H84,Tabelle1[[Ort]:[RK KLV C üD]],3,),VLOOKUP(H84,Tabelle1[[Ort]:[RK KLV C üD]],6)),"")</f>
        <v/>
      </c>
      <c r="P84" s="117" t="str">
        <f>IFERROR(IF(IFERROR(MATCH($C$4&amp;$H84,Tabelle2[Codierung],0),0)&gt;0,VLOOKUP(H84,Tabelle1[[Ort]:[RK KLV C üD]],4,),VLOOKUP(H84,Tabelle1[[Ort]:[RK KLV C üD]],7)),"")</f>
        <v/>
      </c>
      <c r="Q84" s="118" t="str">
        <f>IFERROR(tbl_WohnsitzSO[[#This Row],[KLV A]]*tbl_WohnsitzSO[[#This Row],[KLV A Ansatz]]/60,"")</f>
        <v/>
      </c>
      <c r="R84" s="118" t="str">
        <f>IFERROR(tbl_WohnsitzSO[[#This Row],[KLV B]]*tbl_WohnsitzSO[[#This Row],[KLV B Ansatz]]/60,"")</f>
        <v/>
      </c>
      <c r="S84" s="118" t="str">
        <f>IFERROR(tbl_WohnsitzSO[[#This Row],[KLV C]]*tbl_WohnsitzSO[[#This Row],[KLV C Ansatz]]/60,"")</f>
        <v/>
      </c>
      <c r="T84" s="118">
        <f>IFERROR(SUM(tbl_WohnsitzSO[[#This Row],[KLV A Kosten]:[KLV C Kosten]]),"")</f>
        <v>0</v>
      </c>
      <c r="U84" s="116">
        <f>COUNTIF($H$12:$H84,H84)</f>
        <v>0</v>
      </c>
      <c r="V84" s="194"/>
      <c r="W84" s="194"/>
    </row>
    <row r="85" spans="1:23" x14ac:dyDescent="0.2">
      <c r="A85" s="115">
        <v>74</v>
      </c>
      <c r="B85" s="189"/>
      <c r="C85" s="189"/>
      <c r="D85" s="190"/>
      <c r="E85" s="191"/>
      <c r="F85" s="190"/>
      <c r="G85" s="189"/>
      <c r="H85" s="188"/>
      <c r="I85" s="189"/>
      <c r="J85" s="189"/>
      <c r="K85" s="189"/>
      <c r="L85" s="189"/>
      <c r="M85" s="177">
        <f>SUM(tbl_WohnsitzSO[[#This Row],[KLV A]:[KLV C]])</f>
        <v>0</v>
      </c>
      <c r="N85" s="117" t="str">
        <f>IFERROR(IF(IFERROR(MATCH($C$4&amp;$H85,Tabelle2[Codierung],0),0)&gt;0,VLOOKUP(H85,Tabelle1[[Ort]:[RK KLV C üD]],2,),VLOOKUP(H85,Tabelle1[[Ort]:[RK KLV C üD]],5)),"")</f>
        <v/>
      </c>
      <c r="O85" s="117" t="str">
        <f>IFERROR(IF(IFERROR(MATCH($C$4&amp;$H85,Tabelle2[Codierung],0),0)&gt;0,VLOOKUP(H85,Tabelle1[[Ort]:[RK KLV C üD]],3,),VLOOKUP(H85,Tabelle1[[Ort]:[RK KLV C üD]],6)),"")</f>
        <v/>
      </c>
      <c r="P85" s="117" t="str">
        <f>IFERROR(IF(IFERROR(MATCH($C$4&amp;$H85,Tabelle2[Codierung],0),0)&gt;0,VLOOKUP(H85,Tabelle1[[Ort]:[RK KLV C üD]],4,),VLOOKUP(H85,Tabelle1[[Ort]:[RK KLV C üD]],7)),"")</f>
        <v/>
      </c>
      <c r="Q85" s="118" t="str">
        <f>IFERROR(tbl_WohnsitzSO[[#This Row],[KLV A]]*tbl_WohnsitzSO[[#This Row],[KLV A Ansatz]]/60,"")</f>
        <v/>
      </c>
      <c r="R85" s="118" t="str">
        <f>IFERROR(tbl_WohnsitzSO[[#This Row],[KLV B]]*tbl_WohnsitzSO[[#This Row],[KLV B Ansatz]]/60,"")</f>
        <v/>
      </c>
      <c r="S85" s="118" t="str">
        <f>IFERROR(tbl_WohnsitzSO[[#This Row],[KLV C]]*tbl_WohnsitzSO[[#This Row],[KLV C Ansatz]]/60,"")</f>
        <v/>
      </c>
      <c r="T85" s="118">
        <f>IFERROR(SUM(tbl_WohnsitzSO[[#This Row],[KLV A Kosten]:[KLV C Kosten]]),"")</f>
        <v>0</v>
      </c>
      <c r="U85" s="116">
        <f>COUNTIF($H$12:$H85,H85)</f>
        <v>0</v>
      </c>
      <c r="V85" s="194"/>
      <c r="W85" s="194"/>
    </row>
    <row r="86" spans="1:23" x14ac:dyDescent="0.2">
      <c r="A86" s="115">
        <v>75</v>
      </c>
      <c r="B86" s="189"/>
      <c r="C86" s="189"/>
      <c r="D86" s="190"/>
      <c r="E86" s="191"/>
      <c r="F86" s="190"/>
      <c r="G86" s="189"/>
      <c r="H86" s="188"/>
      <c r="I86" s="189"/>
      <c r="J86" s="189"/>
      <c r="K86" s="189"/>
      <c r="L86" s="189"/>
      <c r="M86" s="177">
        <f>SUM(tbl_WohnsitzSO[[#This Row],[KLV A]:[KLV C]])</f>
        <v>0</v>
      </c>
      <c r="N86" s="117" t="str">
        <f>IFERROR(IF(IFERROR(MATCH($C$4&amp;$H86,Tabelle2[Codierung],0),0)&gt;0,VLOOKUP(H86,Tabelle1[[Ort]:[RK KLV C üD]],2,),VLOOKUP(H86,Tabelle1[[Ort]:[RK KLV C üD]],5)),"")</f>
        <v/>
      </c>
      <c r="O86" s="117" t="str">
        <f>IFERROR(IF(IFERROR(MATCH($C$4&amp;$H86,Tabelle2[Codierung],0),0)&gt;0,VLOOKUP(H86,Tabelle1[[Ort]:[RK KLV C üD]],3,),VLOOKUP(H86,Tabelle1[[Ort]:[RK KLV C üD]],6)),"")</f>
        <v/>
      </c>
      <c r="P86" s="117" t="str">
        <f>IFERROR(IF(IFERROR(MATCH($C$4&amp;$H86,Tabelle2[Codierung],0),0)&gt;0,VLOOKUP(H86,Tabelle1[[Ort]:[RK KLV C üD]],4,),VLOOKUP(H86,Tabelle1[[Ort]:[RK KLV C üD]],7)),"")</f>
        <v/>
      </c>
      <c r="Q86" s="118" t="str">
        <f>IFERROR(tbl_WohnsitzSO[[#This Row],[KLV A]]*tbl_WohnsitzSO[[#This Row],[KLV A Ansatz]]/60,"")</f>
        <v/>
      </c>
      <c r="R86" s="118" t="str">
        <f>IFERROR(tbl_WohnsitzSO[[#This Row],[KLV B]]*tbl_WohnsitzSO[[#This Row],[KLV B Ansatz]]/60,"")</f>
        <v/>
      </c>
      <c r="S86" s="118" t="str">
        <f>IFERROR(tbl_WohnsitzSO[[#This Row],[KLV C]]*tbl_WohnsitzSO[[#This Row],[KLV C Ansatz]]/60,"")</f>
        <v/>
      </c>
      <c r="T86" s="118">
        <f>IFERROR(SUM(tbl_WohnsitzSO[[#This Row],[KLV A Kosten]:[KLV C Kosten]]),"")</f>
        <v>0</v>
      </c>
      <c r="U86" s="116">
        <f>COUNTIF($H$12:$H86,H86)</f>
        <v>0</v>
      </c>
      <c r="V86" s="194"/>
      <c r="W86" s="194"/>
    </row>
    <row r="87" spans="1:23" x14ac:dyDescent="0.2">
      <c r="A87" s="115">
        <v>76</v>
      </c>
      <c r="B87" s="189"/>
      <c r="C87" s="189"/>
      <c r="D87" s="190"/>
      <c r="E87" s="191"/>
      <c r="F87" s="190"/>
      <c r="G87" s="189"/>
      <c r="H87" s="188"/>
      <c r="I87" s="189"/>
      <c r="J87" s="189"/>
      <c r="K87" s="189"/>
      <c r="L87" s="189"/>
      <c r="M87" s="177">
        <f>SUM(tbl_WohnsitzSO[[#This Row],[KLV A]:[KLV C]])</f>
        <v>0</v>
      </c>
      <c r="N87" s="117" t="str">
        <f>IFERROR(IF(IFERROR(MATCH($C$4&amp;$H87,Tabelle2[Codierung],0),0)&gt;0,VLOOKUP(H87,Tabelle1[[Ort]:[RK KLV C üD]],2,),VLOOKUP(H87,Tabelle1[[Ort]:[RK KLV C üD]],5)),"")</f>
        <v/>
      </c>
      <c r="O87" s="117" t="str">
        <f>IFERROR(IF(IFERROR(MATCH($C$4&amp;$H87,Tabelle2[Codierung],0),0)&gt;0,VLOOKUP(H87,Tabelle1[[Ort]:[RK KLV C üD]],3,),VLOOKUP(H87,Tabelle1[[Ort]:[RK KLV C üD]],6)),"")</f>
        <v/>
      </c>
      <c r="P87" s="117" t="str">
        <f>IFERROR(IF(IFERROR(MATCH($C$4&amp;$H87,Tabelle2[Codierung],0),0)&gt;0,VLOOKUP(H87,Tabelle1[[Ort]:[RK KLV C üD]],4,),VLOOKUP(H87,Tabelle1[[Ort]:[RK KLV C üD]],7)),"")</f>
        <v/>
      </c>
      <c r="Q87" s="118" t="str">
        <f>IFERROR(tbl_WohnsitzSO[[#This Row],[KLV A]]*tbl_WohnsitzSO[[#This Row],[KLV A Ansatz]]/60,"")</f>
        <v/>
      </c>
      <c r="R87" s="118" t="str">
        <f>IFERROR(tbl_WohnsitzSO[[#This Row],[KLV B]]*tbl_WohnsitzSO[[#This Row],[KLV B Ansatz]]/60,"")</f>
        <v/>
      </c>
      <c r="S87" s="118" t="str">
        <f>IFERROR(tbl_WohnsitzSO[[#This Row],[KLV C]]*tbl_WohnsitzSO[[#This Row],[KLV C Ansatz]]/60,"")</f>
        <v/>
      </c>
      <c r="T87" s="118">
        <f>IFERROR(SUM(tbl_WohnsitzSO[[#This Row],[KLV A Kosten]:[KLV C Kosten]]),"")</f>
        <v>0</v>
      </c>
      <c r="U87" s="116">
        <f>COUNTIF($H$12:$H87,H87)</f>
        <v>0</v>
      </c>
      <c r="V87" s="194"/>
      <c r="W87" s="194"/>
    </row>
    <row r="88" spans="1:23" x14ac:dyDescent="0.2">
      <c r="A88" s="115">
        <v>77</v>
      </c>
      <c r="B88" s="189"/>
      <c r="C88" s="189"/>
      <c r="D88" s="190"/>
      <c r="E88" s="191"/>
      <c r="F88" s="190"/>
      <c r="G88" s="189"/>
      <c r="H88" s="188"/>
      <c r="I88" s="189"/>
      <c r="J88" s="189"/>
      <c r="K88" s="189"/>
      <c r="L88" s="189"/>
      <c r="M88" s="177">
        <f>SUM(tbl_WohnsitzSO[[#This Row],[KLV A]:[KLV C]])</f>
        <v>0</v>
      </c>
      <c r="N88" s="117" t="str">
        <f>IFERROR(IF(IFERROR(MATCH($C$4&amp;$H88,Tabelle2[Codierung],0),0)&gt;0,VLOOKUP(H88,Tabelle1[[Ort]:[RK KLV C üD]],2,),VLOOKUP(H88,Tabelle1[[Ort]:[RK KLV C üD]],5)),"")</f>
        <v/>
      </c>
      <c r="O88" s="117" t="str">
        <f>IFERROR(IF(IFERROR(MATCH($C$4&amp;$H88,Tabelle2[Codierung],0),0)&gt;0,VLOOKUP(H88,Tabelle1[[Ort]:[RK KLV C üD]],3,),VLOOKUP(H88,Tabelle1[[Ort]:[RK KLV C üD]],6)),"")</f>
        <v/>
      </c>
      <c r="P88" s="117" t="str">
        <f>IFERROR(IF(IFERROR(MATCH($C$4&amp;$H88,Tabelle2[Codierung],0),0)&gt;0,VLOOKUP(H88,Tabelle1[[Ort]:[RK KLV C üD]],4,),VLOOKUP(H88,Tabelle1[[Ort]:[RK KLV C üD]],7)),"")</f>
        <v/>
      </c>
      <c r="Q88" s="118" t="str">
        <f>IFERROR(tbl_WohnsitzSO[[#This Row],[KLV A]]*tbl_WohnsitzSO[[#This Row],[KLV A Ansatz]]/60,"")</f>
        <v/>
      </c>
      <c r="R88" s="118" t="str">
        <f>IFERROR(tbl_WohnsitzSO[[#This Row],[KLV B]]*tbl_WohnsitzSO[[#This Row],[KLV B Ansatz]]/60,"")</f>
        <v/>
      </c>
      <c r="S88" s="118" t="str">
        <f>IFERROR(tbl_WohnsitzSO[[#This Row],[KLV C]]*tbl_WohnsitzSO[[#This Row],[KLV C Ansatz]]/60,"")</f>
        <v/>
      </c>
      <c r="T88" s="118">
        <f>IFERROR(SUM(tbl_WohnsitzSO[[#This Row],[KLV A Kosten]:[KLV C Kosten]]),"")</f>
        <v>0</v>
      </c>
      <c r="U88" s="116">
        <f>COUNTIF($H$12:$H88,H88)</f>
        <v>0</v>
      </c>
      <c r="V88" s="194"/>
      <c r="W88" s="194"/>
    </row>
    <row r="89" spans="1:23" x14ac:dyDescent="0.2">
      <c r="A89" s="115">
        <v>78</v>
      </c>
      <c r="B89" s="189"/>
      <c r="C89" s="189"/>
      <c r="D89" s="190"/>
      <c r="E89" s="191"/>
      <c r="F89" s="190"/>
      <c r="G89" s="189"/>
      <c r="H89" s="188"/>
      <c r="I89" s="189"/>
      <c r="J89" s="189"/>
      <c r="K89" s="189"/>
      <c r="L89" s="189"/>
      <c r="M89" s="177">
        <f>SUM(tbl_WohnsitzSO[[#This Row],[KLV A]:[KLV C]])</f>
        <v>0</v>
      </c>
      <c r="N89" s="117" t="str">
        <f>IFERROR(IF(IFERROR(MATCH($C$4&amp;$H89,Tabelle2[Codierung],0),0)&gt;0,VLOOKUP(H89,Tabelle1[[Ort]:[RK KLV C üD]],2,),VLOOKUP(H89,Tabelle1[[Ort]:[RK KLV C üD]],5)),"")</f>
        <v/>
      </c>
      <c r="O89" s="117" t="str">
        <f>IFERROR(IF(IFERROR(MATCH($C$4&amp;$H89,Tabelle2[Codierung],0),0)&gt;0,VLOOKUP(H89,Tabelle1[[Ort]:[RK KLV C üD]],3,),VLOOKUP(H89,Tabelle1[[Ort]:[RK KLV C üD]],6)),"")</f>
        <v/>
      </c>
      <c r="P89" s="117" t="str">
        <f>IFERROR(IF(IFERROR(MATCH($C$4&amp;$H89,Tabelle2[Codierung],0),0)&gt;0,VLOOKUP(H89,Tabelle1[[Ort]:[RK KLV C üD]],4,),VLOOKUP(H89,Tabelle1[[Ort]:[RK KLV C üD]],7)),"")</f>
        <v/>
      </c>
      <c r="Q89" s="118" t="str">
        <f>IFERROR(tbl_WohnsitzSO[[#This Row],[KLV A]]*tbl_WohnsitzSO[[#This Row],[KLV A Ansatz]]/60,"")</f>
        <v/>
      </c>
      <c r="R89" s="118" t="str">
        <f>IFERROR(tbl_WohnsitzSO[[#This Row],[KLV B]]*tbl_WohnsitzSO[[#This Row],[KLV B Ansatz]]/60,"")</f>
        <v/>
      </c>
      <c r="S89" s="118" t="str">
        <f>IFERROR(tbl_WohnsitzSO[[#This Row],[KLV C]]*tbl_WohnsitzSO[[#This Row],[KLV C Ansatz]]/60,"")</f>
        <v/>
      </c>
      <c r="T89" s="118">
        <f>IFERROR(SUM(tbl_WohnsitzSO[[#This Row],[KLV A Kosten]:[KLV C Kosten]]),"")</f>
        <v>0</v>
      </c>
      <c r="U89" s="116">
        <f>COUNTIF($H$12:$H89,H89)</f>
        <v>0</v>
      </c>
      <c r="V89" s="194"/>
      <c r="W89" s="194"/>
    </row>
    <row r="90" spans="1:23" x14ac:dyDescent="0.2">
      <c r="A90" s="115">
        <v>79</v>
      </c>
      <c r="B90" s="189"/>
      <c r="C90" s="189"/>
      <c r="D90" s="190"/>
      <c r="E90" s="191"/>
      <c r="F90" s="190"/>
      <c r="G90" s="189"/>
      <c r="H90" s="188"/>
      <c r="I90" s="189"/>
      <c r="J90" s="189"/>
      <c r="K90" s="189"/>
      <c r="L90" s="189"/>
      <c r="M90" s="177">
        <f>SUM(tbl_WohnsitzSO[[#This Row],[KLV A]:[KLV C]])</f>
        <v>0</v>
      </c>
      <c r="N90" s="117" t="str">
        <f>IFERROR(IF(IFERROR(MATCH($C$4&amp;$H90,Tabelle2[Codierung],0),0)&gt;0,VLOOKUP(H90,Tabelle1[[Ort]:[RK KLV C üD]],2,),VLOOKUP(H90,Tabelle1[[Ort]:[RK KLV C üD]],5)),"")</f>
        <v/>
      </c>
      <c r="O90" s="117" t="str">
        <f>IFERROR(IF(IFERROR(MATCH($C$4&amp;$H90,Tabelle2[Codierung],0),0)&gt;0,VLOOKUP(H90,Tabelle1[[Ort]:[RK KLV C üD]],3,),VLOOKUP(H90,Tabelle1[[Ort]:[RK KLV C üD]],6)),"")</f>
        <v/>
      </c>
      <c r="P90" s="117" t="str">
        <f>IFERROR(IF(IFERROR(MATCH($C$4&amp;$H90,Tabelle2[Codierung],0),0)&gt;0,VLOOKUP(H90,Tabelle1[[Ort]:[RK KLV C üD]],4,),VLOOKUP(H90,Tabelle1[[Ort]:[RK KLV C üD]],7)),"")</f>
        <v/>
      </c>
      <c r="Q90" s="118" t="str">
        <f>IFERROR(tbl_WohnsitzSO[[#This Row],[KLV A]]*tbl_WohnsitzSO[[#This Row],[KLV A Ansatz]]/60,"")</f>
        <v/>
      </c>
      <c r="R90" s="118" t="str">
        <f>IFERROR(tbl_WohnsitzSO[[#This Row],[KLV B]]*tbl_WohnsitzSO[[#This Row],[KLV B Ansatz]]/60,"")</f>
        <v/>
      </c>
      <c r="S90" s="118" t="str">
        <f>IFERROR(tbl_WohnsitzSO[[#This Row],[KLV C]]*tbl_WohnsitzSO[[#This Row],[KLV C Ansatz]]/60,"")</f>
        <v/>
      </c>
      <c r="T90" s="118">
        <f>IFERROR(SUM(tbl_WohnsitzSO[[#This Row],[KLV A Kosten]:[KLV C Kosten]]),"")</f>
        <v>0</v>
      </c>
      <c r="U90" s="116">
        <f>COUNTIF($H$12:$H90,H90)</f>
        <v>0</v>
      </c>
      <c r="V90" s="194"/>
      <c r="W90" s="194"/>
    </row>
    <row r="91" spans="1:23" x14ac:dyDescent="0.2">
      <c r="A91" s="115">
        <v>80</v>
      </c>
      <c r="B91" s="189"/>
      <c r="C91" s="189"/>
      <c r="D91" s="190"/>
      <c r="E91" s="191"/>
      <c r="F91" s="190"/>
      <c r="G91" s="189"/>
      <c r="H91" s="188"/>
      <c r="I91" s="189"/>
      <c r="J91" s="189"/>
      <c r="K91" s="189"/>
      <c r="L91" s="189"/>
      <c r="M91" s="177">
        <f>SUM(tbl_WohnsitzSO[[#This Row],[KLV A]:[KLV C]])</f>
        <v>0</v>
      </c>
      <c r="N91" s="117" t="str">
        <f>IFERROR(IF(IFERROR(MATCH($C$4&amp;$H91,Tabelle2[Codierung],0),0)&gt;0,VLOOKUP(H91,Tabelle1[[Ort]:[RK KLV C üD]],2,),VLOOKUP(H91,Tabelle1[[Ort]:[RK KLV C üD]],5)),"")</f>
        <v/>
      </c>
      <c r="O91" s="117" t="str">
        <f>IFERROR(IF(IFERROR(MATCH($C$4&amp;$H91,Tabelle2[Codierung],0),0)&gt;0,VLOOKUP(H91,Tabelle1[[Ort]:[RK KLV C üD]],3,),VLOOKUP(H91,Tabelle1[[Ort]:[RK KLV C üD]],6)),"")</f>
        <v/>
      </c>
      <c r="P91" s="117" t="str">
        <f>IFERROR(IF(IFERROR(MATCH($C$4&amp;$H91,Tabelle2[Codierung],0),0)&gt;0,VLOOKUP(H91,Tabelle1[[Ort]:[RK KLV C üD]],4,),VLOOKUP(H91,Tabelle1[[Ort]:[RK KLV C üD]],7)),"")</f>
        <v/>
      </c>
      <c r="Q91" s="118" t="str">
        <f>IFERROR(tbl_WohnsitzSO[[#This Row],[KLV A]]*tbl_WohnsitzSO[[#This Row],[KLV A Ansatz]]/60,"")</f>
        <v/>
      </c>
      <c r="R91" s="118" t="str">
        <f>IFERROR(tbl_WohnsitzSO[[#This Row],[KLV B]]*tbl_WohnsitzSO[[#This Row],[KLV B Ansatz]]/60,"")</f>
        <v/>
      </c>
      <c r="S91" s="118" t="str">
        <f>IFERROR(tbl_WohnsitzSO[[#This Row],[KLV C]]*tbl_WohnsitzSO[[#This Row],[KLV C Ansatz]]/60,"")</f>
        <v/>
      </c>
      <c r="T91" s="118">
        <f>IFERROR(SUM(tbl_WohnsitzSO[[#This Row],[KLV A Kosten]:[KLV C Kosten]]),"")</f>
        <v>0</v>
      </c>
      <c r="U91" s="116">
        <f>COUNTIF($H$12:$H91,H91)</f>
        <v>0</v>
      </c>
      <c r="V91" s="194"/>
      <c r="W91" s="194"/>
    </row>
    <row r="92" spans="1:23" x14ac:dyDescent="0.2">
      <c r="A92" s="115">
        <v>81</v>
      </c>
      <c r="B92" s="189"/>
      <c r="C92" s="189"/>
      <c r="D92" s="190"/>
      <c r="E92" s="191"/>
      <c r="F92" s="190"/>
      <c r="G92" s="189"/>
      <c r="H92" s="188"/>
      <c r="I92" s="189"/>
      <c r="J92" s="189"/>
      <c r="K92" s="189"/>
      <c r="L92" s="189"/>
      <c r="M92" s="177">
        <f>SUM(tbl_WohnsitzSO[[#This Row],[KLV A]:[KLV C]])</f>
        <v>0</v>
      </c>
      <c r="N92" s="117" t="str">
        <f>IFERROR(IF(IFERROR(MATCH($C$4&amp;$H92,Tabelle2[Codierung],0),0)&gt;0,VLOOKUP(H92,Tabelle1[[Ort]:[RK KLV C üD]],2,),VLOOKUP(H92,Tabelle1[[Ort]:[RK KLV C üD]],5)),"")</f>
        <v/>
      </c>
      <c r="O92" s="117" t="str">
        <f>IFERROR(IF(IFERROR(MATCH($C$4&amp;$H92,Tabelle2[Codierung],0),0)&gt;0,VLOOKUP(H92,Tabelle1[[Ort]:[RK KLV C üD]],3,),VLOOKUP(H92,Tabelle1[[Ort]:[RK KLV C üD]],6)),"")</f>
        <v/>
      </c>
      <c r="P92" s="117" t="str">
        <f>IFERROR(IF(IFERROR(MATCH($C$4&amp;$H92,Tabelle2[Codierung],0),0)&gt;0,VLOOKUP(H92,Tabelle1[[Ort]:[RK KLV C üD]],4,),VLOOKUP(H92,Tabelle1[[Ort]:[RK KLV C üD]],7)),"")</f>
        <v/>
      </c>
      <c r="Q92" s="118" t="str">
        <f>IFERROR(tbl_WohnsitzSO[[#This Row],[KLV A]]*tbl_WohnsitzSO[[#This Row],[KLV A Ansatz]]/60,"")</f>
        <v/>
      </c>
      <c r="R92" s="118" t="str">
        <f>IFERROR(tbl_WohnsitzSO[[#This Row],[KLV B]]*tbl_WohnsitzSO[[#This Row],[KLV B Ansatz]]/60,"")</f>
        <v/>
      </c>
      <c r="S92" s="118" t="str">
        <f>IFERROR(tbl_WohnsitzSO[[#This Row],[KLV C]]*tbl_WohnsitzSO[[#This Row],[KLV C Ansatz]]/60,"")</f>
        <v/>
      </c>
      <c r="T92" s="118">
        <f>IFERROR(SUM(tbl_WohnsitzSO[[#This Row],[KLV A Kosten]:[KLV C Kosten]]),"")</f>
        <v>0</v>
      </c>
      <c r="U92" s="116">
        <f>COUNTIF($H$12:$H92,H92)</f>
        <v>0</v>
      </c>
      <c r="V92" s="194"/>
      <c r="W92" s="194"/>
    </row>
    <row r="93" spans="1:23" x14ac:dyDescent="0.2">
      <c r="A93" s="115">
        <v>82</v>
      </c>
      <c r="B93" s="189"/>
      <c r="C93" s="189"/>
      <c r="D93" s="190"/>
      <c r="E93" s="191"/>
      <c r="F93" s="190"/>
      <c r="G93" s="189"/>
      <c r="H93" s="188"/>
      <c r="I93" s="189"/>
      <c r="J93" s="189"/>
      <c r="K93" s="189"/>
      <c r="L93" s="189"/>
      <c r="M93" s="177">
        <f>SUM(tbl_WohnsitzSO[[#This Row],[KLV A]:[KLV C]])</f>
        <v>0</v>
      </c>
      <c r="N93" s="117" t="str">
        <f>IFERROR(IF(IFERROR(MATCH($C$4&amp;$H93,Tabelle2[Codierung],0),0)&gt;0,VLOOKUP(H93,Tabelle1[[Ort]:[RK KLV C üD]],2,),VLOOKUP(H93,Tabelle1[[Ort]:[RK KLV C üD]],5)),"")</f>
        <v/>
      </c>
      <c r="O93" s="117" t="str">
        <f>IFERROR(IF(IFERROR(MATCH($C$4&amp;$H93,Tabelle2[Codierung],0),0)&gt;0,VLOOKUP(H93,Tabelle1[[Ort]:[RK KLV C üD]],3,),VLOOKUP(H93,Tabelle1[[Ort]:[RK KLV C üD]],6)),"")</f>
        <v/>
      </c>
      <c r="P93" s="117" t="str">
        <f>IFERROR(IF(IFERROR(MATCH($C$4&amp;$H93,Tabelle2[Codierung],0),0)&gt;0,VLOOKUP(H93,Tabelle1[[Ort]:[RK KLV C üD]],4,),VLOOKUP(H93,Tabelle1[[Ort]:[RK KLV C üD]],7)),"")</f>
        <v/>
      </c>
      <c r="Q93" s="118" t="str">
        <f>IFERROR(tbl_WohnsitzSO[[#This Row],[KLV A]]*tbl_WohnsitzSO[[#This Row],[KLV A Ansatz]]/60,"")</f>
        <v/>
      </c>
      <c r="R93" s="118" t="str">
        <f>IFERROR(tbl_WohnsitzSO[[#This Row],[KLV B]]*tbl_WohnsitzSO[[#This Row],[KLV B Ansatz]]/60,"")</f>
        <v/>
      </c>
      <c r="S93" s="118" t="str">
        <f>IFERROR(tbl_WohnsitzSO[[#This Row],[KLV C]]*tbl_WohnsitzSO[[#This Row],[KLV C Ansatz]]/60,"")</f>
        <v/>
      </c>
      <c r="T93" s="118">
        <f>IFERROR(SUM(tbl_WohnsitzSO[[#This Row],[KLV A Kosten]:[KLV C Kosten]]),"")</f>
        <v>0</v>
      </c>
      <c r="U93" s="116">
        <f>COUNTIF($H$12:$H93,H93)</f>
        <v>0</v>
      </c>
      <c r="V93" s="194"/>
      <c r="W93" s="194"/>
    </row>
    <row r="94" spans="1:23" x14ac:dyDescent="0.2">
      <c r="A94" s="115">
        <v>83</v>
      </c>
      <c r="B94" s="189"/>
      <c r="C94" s="189"/>
      <c r="D94" s="190"/>
      <c r="E94" s="191"/>
      <c r="F94" s="190"/>
      <c r="G94" s="189"/>
      <c r="H94" s="188"/>
      <c r="I94" s="189"/>
      <c r="J94" s="189"/>
      <c r="K94" s="189"/>
      <c r="L94" s="189"/>
      <c r="M94" s="177">
        <f>SUM(tbl_WohnsitzSO[[#This Row],[KLV A]:[KLV C]])</f>
        <v>0</v>
      </c>
      <c r="N94" s="117" t="str">
        <f>IFERROR(IF(IFERROR(MATCH($C$4&amp;$H94,Tabelle2[Codierung],0),0)&gt;0,VLOOKUP(H94,Tabelle1[[Ort]:[RK KLV C üD]],2,),VLOOKUP(H94,Tabelle1[[Ort]:[RK KLV C üD]],5)),"")</f>
        <v/>
      </c>
      <c r="O94" s="117" t="str">
        <f>IFERROR(IF(IFERROR(MATCH($C$4&amp;$H94,Tabelle2[Codierung],0),0)&gt;0,VLOOKUP(H94,Tabelle1[[Ort]:[RK KLV C üD]],3,),VLOOKUP(H94,Tabelle1[[Ort]:[RK KLV C üD]],6)),"")</f>
        <v/>
      </c>
      <c r="P94" s="117" t="str">
        <f>IFERROR(IF(IFERROR(MATCH($C$4&amp;$H94,Tabelle2[Codierung],0),0)&gt;0,VLOOKUP(H94,Tabelle1[[Ort]:[RK KLV C üD]],4,),VLOOKUP(H94,Tabelle1[[Ort]:[RK KLV C üD]],7)),"")</f>
        <v/>
      </c>
      <c r="Q94" s="118" t="str">
        <f>IFERROR(tbl_WohnsitzSO[[#This Row],[KLV A]]*tbl_WohnsitzSO[[#This Row],[KLV A Ansatz]]/60,"")</f>
        <v/>
      </c>
      <c r="R94" s="118" t="str">
        <f>IFERROR(tbl_WohnsitzSO[[#This Row],[KLV B]]*tbl_WohnsitzSO[[#This Row],[KLV B Ansatz]]/60,"")</f>
        <v/>
      </c>
      <c r="S94" s="118" t="str">
        <f>IFERROR(tbl_WohnsitzSO[[#This Row],[KLV C]]*tbl_WohnsitzSO[[#This Row],[KLV C Ansatz]]/60,"")</f>
        <v/>
      </c>
      <c r="T94" s="118">
        <f>IFERROR(SUM(tbl_WohnsitzSO[[#This Row],[KLV A Kosten]:[KLV C Kosten]]),"")</f>
        <v>0</v>
      </c>
      <c r="U94" s="116">
        <f>COUNTIF($H$12:$H94,H94)</f>
        <v>0</v>
      </c>
      <c r="V94" s="194"/>
      <c r="W94" s="194"/>
    </row>
    <row r="95" spans="1:23" x14ac:dyDescent="0.2">
      <c r="A95" s="115">
        <v>84</v>
      </c>
      <c r="B95" s="189"/>
      <c r="C95" s="189"/>
      <c r="D95" s="190"/>
      <c r="E95" s="191"/>
      <c r="F95" s="190"/>
      <c r="G95" s="189"/>
      <c r="H95" s="188"/>
      <c r="I95" s="189"/>
      <c r="J95" s="189"/>
      <c r="K95" s="189"/>
      <c r="L95" s="189"/>
      <c r="M95" s="177">
        <f>SUM(tbl_WohnsitzSO[[#This Row],[KLV A]:[KLV C]])</f>
        <v>0</v>
      </c>
      <c r="N95" s="117" t="str">
        <f>IFERROR(IF(IFERROR(MATCH($C$4&amp;$H95,Tabelle2[Codierung],0),0)&gt;0,VLOOKUP(H95,Tabelle1[[Ort]:[RK KLV C üD]],2,),VLOOKUP(H95,Tabelle1[[Ort]:[RK KLV C üD]],5)),"")</f>
        <v/>
      </c>
      <c r="O95" s="117" t="str">
        <f>IFERROR(IF(IFERROR(MATCH($C$4&amp;$H95,Tabelle2[Codierung],0),0)&gt;0,VLOOKUP(H95,Tabelle1[[Ort]:[RK KLV C üD]],3,),VLOOKUP(H95,Tabelle1[[Ort]:[RK KLV C üD]],6)),"")</f>
        <v/>
      </c>
      <c r="P95" s="117" t="str">
        <f>IFERROR(IF(IFERROR(MATCH($C$4&amp;$H95,Tabelle2[Codierung],0),0)&gt;0,VLOOKUP(H95,Tabelle1[[Ort]:[RK KLV C üD]],4,),VLOOKUP(H95,Tabelle1[[Ort]:[RK KLV C üD]],7)),"")</f>
        <v/>
      </c>
      <c r="Q95" s="118" t="str">
        <f>IFERROR(tbl_WohnsitzSO[[#This Row],[KLV A]]*tbl_WohnsitzSO[[#This Row],[KLV A Ansatz]]/60,"")</f>
        <v/>
      </c>
      <c r="R95" s="118" t="str">
        <f>IFERROR(tbl_WohnsitzSO[[#This Row],[KLV B]]*tbl_WohnsitzSO[[#This Row],[KLV B Ansatz]]/60,"")</f>
        <v/>
      </c>
      <c r="S95" s="118" t="str">
        <f>IFERROR(tbl_WohnsitzSO[[#This Row],[KLV C]]*tbl_WohnsitzSO[[#This Row],[KLV C Ansatz]]/60,"")</f>
        <v/>
      </c>
      <c r="T95" s="118">
        <f>IFERROR(SUM(tbl_WohnsitzSO[[#This Row],[KLV A Kosten]:[KLV C Kosten]]),"")</f>
        <v>0</v>
      </c>
      <c r="U95" s="116">
        <f>COUNTIF($H$12:$H95,H95)</f>
        <v>0</v>
      </c>
      <c r="V95" s="194"/>
      <c r="W95" s="194"/>
    </row>
    <row r="96" spans="1:23" x14ac:dyDescent="0.2">
      <c r="A96" s="115">
        <v>85</v>
      </c>
      <c r="B96" s="189"/>
      <c r="C96" s="189"/>
      <c r="D96" s="190"/>
      <c r="E96" s="191"/>
      <c r="F96" s="190"/>
      <c r="G96" s="189"/>
      <c r="H96" s="188"/>
      <c r="I96" s="189"/>
      <c r="J96" s="189"/>
      <c r="K96" s="189"/>
      <c r="L96" s="189"/>
      <c r="M96" s="177">
        <f>SUM(tbl_WohnsitzSO[[#This Row],[KLV A]:[KLV C]])</f>
        <v>0</v>
      </c>
      <c r="N96" s="117" t="str">
        <f>IFERROR(IF(IFERROR(MATCH($C$4&amp;$H96,Tabelle2[Codierung],0),0)&gt;0,VLOOKUP(H96,Tabelle1[[Ort]:[RK KLV C üD]],2,),VLOOKUP(H96,Tabelle1[[Ort]:[RK KLV C üD]],5)),"")</f>
        <v/>
      </c>
      <c r="O96" s="117" t="str">
        <f>IFERROR(IF(IFERROR(MATCH($C$4&amp;$H96,Tabelle2[Codierung],0),0)&gt;0,VLOOKUP(H96,Tabelle1[[Ort]:[RK KLV C üD]],3,),VLOOKUP(H96,Tabelle1[[Ort]:[RK KLV C üD]],6)),"")</f>
        <v/>
      </c>
      <c r="P96" s="117" t="str">
        <f>IFERROR(IF(IFERROR(MATCH($C$4&amp;$H96,Tabelle2[Codierung],0),0)&gt;0,VLOOKUP(H96,Tabelle1[[Ort]:[RK KLV C üD]],4,),VLOOKUP(H96,Tabelle1[[Ort]:[RK KLV C üD]],7)),"")</f>
        <v/>
      </c>
      <c r="Q96" s="118" t="str">
        <f>IFERROR(tbl_WohnsitzSO[[#This Row],[KLV A]]*tbl_WohnsitzSO[[#This Row],[KLV A Ansatz]]/60,"")</f>
        <v/>
      </c>
      <c r="R96" s="118" t="str">
        <f>IFERROR(tbl_WohnsitzSO[[#This Row],[KLV B]]*tbl_WohnsitzSO[[#This Row],[KLV B Ansatz]]/60,"")</f>
        <v/>
      </c>
      <c r="S96" s="118" t="str">
        <f>IFERROR(tbl_WohnsitzSO[[#This Row],[KLV C]]*tbl_WohnsitzSO[[#This Row],[KLV C Ansatz]]/60,"")</f>
        <v/>
      </c>
      <c r="T96" s="118">
        <f>IFERROR(SUM(tbl_WohnsitzSO[[#This Row],[KLV A Kosten]:[KLV C Kosten]]),"")</f>
        <v>0</v>
      </c>
      <c r="U96" s="116">
        <f>COUNTIF($H$12:$H96,H96)</f>
        <v>0</v>
      </c>
      <c r="V96" s="194"/>
      <c r="W96" s="194"/>
    </row>
    <row r="97" spans="1:23" x14ac:dyDescent="0.2">
      <c r="A97" s="115">
        <v>86</v>
      </c>
      <c r="B97" s="189"/>
      <c r="C97" s="189"/>
      <c r="D97" s="190"/>
      <c r="E97" s="191"/>
      <c r="F97" s="190"/>
      <c r="G97" s="189"/>
      <c r="H97" s="188"/>
      <c r="I97" s="189"/>
      <c r="J97" s="189"/>
      <c r="K97" s="189"/>
      <c r="L97" s="189"/>
      <c r="M97" s="177">
        <f>SUM(tbl_WohnsitzSO[[#This Row],[KLV A]:[KLV C]])</f>
        <v>0</v>
      </c>
      <c r="N97" s="117" t="str">
        <f>IFERROR(IF(IFERROR(MATCH($C$4&amp;$H97,Tabelle2[Codierung],0),0)&gt;0,VLOOKUP(H97,Tabelle1[[Ort]:[RK KLV C üD]],2,),VLOOKUP(H97,Tabelle1[[Ort]:[RK KLV C üD]],5)),"")</f>
        <v/>
      </c>
      <c r="O97" s="117" t="str">
        <f>IFERROR(IF(IFERROR(MATCH($C$4&amp;$H97,Tabelle2[Codierung],0),0)&gt;0,VLOOKUP(H97,Tabelle1[[Ort]:[RK KLV C üD]],3,),VLOOKUP(H97,Tabelle1[[Ort]:[RK KLV C üD]],6)),"")</f>
        <v/>
      </c>
      <c r="P97" s="117" t="str">
        <f>IFERROR(IF(IFERROR(MATCH($C$4&amp;$H97,Tabelle2[Codierung],0),0)&gt;0,VLOOKUP(H97,Tabelle1[[Ort]:[RK KLV C üD]],4,),VLOOKUP(H97,Tabelle1[[Ort]:[RK KLV C üD]],7)),"")</f>
        <v/>
      </c>
      <c r="Q97" s="118" t="str">
        <f>IFERROR(tbl_WohnsitzSO[[#This Row],[KLV A]]*tbl_WohnsitzSO[[#This Row],[KLV A Ansatz]]/60,"")</f>
        <v/>
      </c>
      <c r="R97" s="118" t="str">
        <f>IFERROR(tbl_WohnsitzSO[[#This Row],[KLV B]]*tbl_WohnsitzSO[[#This Row],[KLV B Ansatz]]/60,"")</f>
        <v/>
      </c>
      <c r="S97" s="118" t="str">
        <f>IFERROR(tbl_WohnsitzSO[[#This Row],[KLV C]]*tbl_WohnsitzSO[[#This Row],[KLV C Ansatz]]/60,"")</f>
        <v/>
      </c>
      <c r="T97" s="118">
        <f>IFERROR(SUM(tbl_WohnsitzSO[[#This Row],[KLV A Kosten]:[KLV C Kosten]]),"")</f>
        <v>0</v>
      </c>
      <c r="U97" s="116">
        <f>COUNTIF($H$12:$H97,H97)</f>
        <v>0</v>
      </c>
      <c r="V97" s="194"/>
      <c r="W97" s="194"/>
    </row>
    <row r="98" spans="1:23" x14ac:dyDescent="0.2">
      <c r="A98" s="115">
        <v>87</v>
      </c>
      <c r="B98" s="189"/>
      <c r="C98" s="189"/>
      <c r="D98" s="190"/>
      <c r="E98" s="191"/>
      <c r="F98" s="190"/>
      <c r="G98" s="189"/>
      <c r="H98" s="188"/>
      <c r="I98" s="189"/>
      <c r="J98" s="189"/>
      <c r="K98" s="189"/>
      <c r="L98" s="189"/>
      <c r="M98" s="177">
        <f>SUM(tbl_WohnsitzSO[[#This Row],[KLV A]:[KLV C]])</f>
        <v>0</v>
      </c>
      <c r="N98" s="117" t="str">
        <f>IFERROR(IF(IFERROR(MATCH($C$4&amp;$H98,Tabelle2[Codierung],0),0)&gt;0,VLOOKUP(H98,Tabelle1[[Ort]:[RK KLV C üD]],2,),VLOOKUP(H98,Tabelle1[[Ort]:[RK KLV C üD]],5)),"")</f>
        <v/>
      </c>
      <c r="O98" s="117" t="str">
        <f>IFERROR(IF(IFERROR(MATCH($C$4&amp;$H98,Tabelle2[Codierung],0),0)&gt;0,VLOOKUP(H98,Tabelle1[[Ort]:[RK KLV C üD]],3,),VLOOKUP(H98,Tabelle1[[Ort]:[RK KLV C üD]],6)),"")</f>
        <v/>
      </c>
      <c r="P98" s="117" t="str">
        <f>IFERROR(IF(IFERROR(MATCH($C$4&amp;$H98,Tabelle2[Codierung],0),0)&gt;0,VLOOKUP(H98,Tabelle1[[Ort]:[RK KLV C üD]],4,),VLOOKUP(H98,Tabelle1[[Ort]:[RK KLV C üD]],7)),"")</f>
        <v/>
      </c>
      <c r="Q98" s="118" t="str">
        <f>IFERROR(tbl_WohnsitzSO[[#This Row],[KLV A]]*tbl_WohnsitzSO[[#This Row],[KLV A Ansatz]]/60,"")</f>
        <v/>
      </c>
      <c r="R98" s="118" t="str">
        <f>IFERROR(tbl_WohnsitzSO[[#This Row],[KLV B]]*tbl_WohnsitzSO[[#This Row],[KLV B Ansatz]]/60,"")</f>
        <v/>
      </c>
      <c r="S98" s="118" t="str">
        <f>IFERROR(tbl_WohnsitzSO[[#This Row],[KLV C]]*tbl_WohnsitzSO[[#This Row],[KLV C Ansatz]]/60,"")</f>
        <v/>
      </c>
      <c r="T98" s="118">
        <f>IFERROR(SUM(tbl_WohnsitzSO[[#This Row],[KLV A Kosten]:[KLV C Kosten]]),"")</f>
        <v>0</v>
      </c>
      <c r="U98" s="116">
        <f>COUNTIF($H$12:$H98,H98)</f>
        <v>0</v>
      </c>
      <c r="V98" s="194"/>
      <c r="W98" s="194"/>
    </row>
    <row r="99" spans="1:23" x14ac:dyDescent="0.2">
      <c r="A99" s="115">
        <v>88</v>
      </c>
      <c r="B99" s="189"/>
      <c r="C99" s="189"/>
      <c r="D99" s="190"/>
      <c r="E99" s="191"/>
      <c r="F99" s="190"/>
      <c r="G99" s="189"/>
      <c r="H99" s="188"/>
      <c r="I99" s="189"/>
      <c r="J99" s="189"/>
      <c r="K99" s="189"/>
      <c r="L99" s="189"/>
      <c r="M99" s="177">
        <f>SUM(tbl_WohnsitzSO[[#This Row],[KLV A]:[KLV C]])</f>
        <v>0</v>
      </c>
      <c r="N99" s="117" t="str">
        <f>IFERROR(IF(IFERROR(MATCH($C$4&amp;$H99,Tabelle2[Codierung],0),0)&gt;0,VLOOKUP(H99,Tabelle1[[Ort]:[RK KLV C üD]],2,),VLOOKUP(H99,Tabelle1[[Ort]:[RK KLV C üD]],5)),"")</f>
        <v/>
      </c>
      <c r="O99" s="117" t="str">
        <f>IFERROR(IF(IFERROR(MATCH($C$4&amp;$H99,Tabelle2[Codierung],0),0)&gt;0,VLOOKUP(H99,Tabelle1[[Ort]:[RK KLV C üD]],3,),VLOOKUP(H99,Tabelle1[[Ort]:[RK KLV C üD]],6)),"")</f>
        <v/>
      </c>
      <c r="P99" s="117" t="str">
        <f>IFERROR(IF(IFERROR(MATCH($C$4&amp;$H99,Tabelle2[Codierung],0),0)&gt;0,VLOOKUP(H99,Tabelle1[[Ort]:[RK KLV C üD]],4,),VLOOKUP(H99,Tabelle1[[Ort]:[RK KLV C üD]],7)),"")</f>
        <v/>
      </c>
      <c r="Q99" s="118" t="str">
        <f>IFERROR(tbl_WohnsitzSO[[#This Row],[KLV A]]*tbl_WohnsitzSO[[#This Row],[KLV A Ansatz]]/60,"")</f>
        <v/>
      </c>
      <c r="R99" s="118" t="str">
        <f>IFERROR(tbl_WohnsitzSO[[#This Row],[KLV B]]*tbl_WohnsitzSO[[#This Row],[KLV B Ansatz]]/60,"")</f>
        <v/>
      </c>
      <c r="S99" s="118" t="str">
        <f>IFERROR(tbl_WohnsitzSO[[#This Row],[KLV C]]*tbl_WohnsitzSO[[#This Row],[KLV C Ansatz]]/60,"")</f>
        <v/>
      </c>
      <c r="T99" s="118">
        <f>IFERROR(SUM(tbl_WohnsitzSO[[#This Row],[KLV A Kosten]:[KLV C Kosten]]),"")</f>
        <v>0</v>
      </c>
      <c r="U99" s="116">
        <f>COUNTIF($H$12:$H99,H99)</f>
        <v>0</v>
      </c>
      <c r="V99" s="194"/>
      <c r="W99" s="194"/>
    </row>
    <row r="100" spans="1:23" ht="15.75" thickBot="1" x14ac:dyDescent="0.3">
      <c r="A100" s="115">
        <v>89</v>
      </c>
      <c r="B100" s="189"/>
      <c r="C100" s="189"/>
      <c r="D100" s="190"/>
      <c r="E100" s="191"/>
      <c r="F100" s="190"/>
      <c r="G100" s="189"/>
      <c r="H100" s="188"/>
      <c r="I100" s="189"/>
      <c r="J100" s="189"/>
      <c r="K100" s="189"/>
      <c r="L100" s="189"/>
      <c r="M100" s="177">
        <f>SUM(tbl_WohnsitzSO[[#This Row],[KLV A]:[KLV C]])</f>
        <v>0</v>
      </c>
      <c r="N100" s="117" t="str">
        <f>IFERROR(IF(IFERROR(MATCH($C$4&amp;$H100,Tabelle2[Codierung],0),0)&gt;0,VLOOKUP(H100,Tabelle1[[Ort]:[RK KLV C üD]],2,),VLOOKUP(H100,Tabelle1[[Ort]:[RK KLV C üD]],5)),"")</f>
        <v/>
      </c>
      <c r="O100" s="117" t="str">
        <f>IFERROR(IF(IFERROR(MATCH($C$4&amp;$H100,Tabelle2[Codierung],0),0)&gt;0,VLOOKUP(H100,Tabelle1[[Ort]:[RK KLV C üD]],3,),VLOOKUP(H100,Tabelle1[[Ort]:[RK KLV C üD]],6)),"")</f>
        <v/>
      </c>
      <c r="P100" s="117" t="str">
        <f>IFERROR(IF(IFERROR(MATCH($C$4&amp;$H100,Tabelle2[Codierung],0),0)&gt;0,VLOOKUP(H100,Tabelle1[[Ort]:[RK KLV C üD]],4,),VLOOKUP(H100,Tabelle1[[Ort]:[RK KLV C üD]],7)),"")</f>
        <v/>
      </c>
      <c r="Q100" s="118" t="str">
        <f>IFERROR(tbl_WohnsitzSO[[#This Row],[KLV A]]*tbl_WohnsitzSO[[#This Row],[KLV A Ansatz]]/60,"")</f>
        <v/>
      </c>
      <c r="R100" s="118" t="str">
        <f>IFERROR(tbl_WohnsitzSO[[#This Row],[KLV B]]*tbl_WohnsitzSO[[#This Row],[KLV B Ansatz]]/60,"")</f>
        <v/>
      </c>
      <c r="S100" s="118" t="str">
        <f>IFERROR(tbl_WohnsitzSO[[#This Row],[KLV C]]*tbl_WohnsitzSO[[#This Row],[KLV C Ansatz]]/60,"")</f>
        <v/>
      </c>
      <c r="T100" s="118">
        <f>IFERROR(SUM(tbl_WohnsitzSO[[#This Row],[KLV A Kosten]:[KLV C Kosten]]),"")</f>
        <v>0</v>
      </c>
      <c r="U100" s="119">
        <f>COUNTIF($H$12:$H111,H100)</f>
        <v>0</v>
      </c>
      <c r="V100" s="194"/>
      <c r="W100" s="194"/>
    </row>
    <row r="101" spans="1:23" x14ac:dyDescent="0.2">
      <c r="A101" s="115">
        <v>90</v>
      </c>
      <c r="B101" s="189"/>
      <c r="C101" s="189"/>
      <c r="D101" s="190"/>
      <c r="E101" s="191"/>
      <c r="F101" s="190"/>
      <c r="G101" s="189"/>
      <c r="H101" s="188"/>
      <c r="I101" s="189"/>
      <c r="J101" s="189"/>
      <c r="K101" s="189"/>
      <c r="L101" s="189"/>
      <c r="M101" s="178">
        <f>SUM(tbl_WohnsitzSO[[#This Row],[KLV A]:[KLV C]])</f>
        <v>0</v>
      </c>
      <c r="N101" s="117" t="str">
        <f>IFERROR(IF(IFERROR(MATCH($C$4&amp;$H101,Tabelle2[Codierung],0),0)&gt;0,VLOOKUP(H101,Tabelle1[[Ort]:[RK KLV C üD]],2,),VLOOKUP(H101,Tabelle1[[Ort]:[RK KLV C üD]],5)),"")</f>
        <v/>
      </c>
      <c r="O101" s="117" t="str">
        <f>IFERROR(IF(IFERROR(MATCH($C$4&amp;$H101,Tabelle2[Codierung],0),0)&gt;0,VLOOKUP(H101,Tabelle1[[Ort]:[RK KLV C üD]],3,),VLOOKUP(H101,Tabelle1[[Ort]:[RK KLV C üD]],6)),"")</f>
        <v/>
      </c>
      <c r="P101" s="117" t="str">
        <f>IFERROR(IF(IFERROR(MATCH($C$4&amp;$H101,Tabelle2[Codierung],0),0)&gt;0,VLOOKUP(H101,Tabelle1[[Ort]:[RK KLV C üD]],4,),VLOOKUP(H101,Tabelle1[[Ort]:[RK KLV C üD]],7)),"")</f>
        <v/>
      </c>
      <c r="Q101" s="120" t="str">
        <f>IFERROR(tbl_WohnsitzSO[[#This Row],[KLV A]]*tbl_WohnsitzSO[[#This Row],[KLV A Ansatz]]/60,"")</f>
        <v/>
      </c>
      <c r="R101" s="118" t="str">
        <f>IFERROR(tbl_WohnsitzSO[[#This Row],[KLV B]]*tbl_WohnsitzSO[[#This Row],[KLV B Ansatz]]/60,"")</f>
        <v/>
      </c>
      <c r="S101" s="118" t="str">
        <f>IFERROR(tbl_WohnsitzSO[[#This Row],[KLV C]]*tbl_WohnsitzSO[[#This Row],[KLV C Ansatz]]/60,"")</f>
        <v/>
      </c>
      <c r="T101" s="118">
        <f>IFERROR(SUM(tbl_WohnsitzSO[[#This Row],[KLV A Kosten]:[KLV C Kosten]]),"")</f>
        <v>0</v>
      </c>
      <c r="U101" s="111">
        <f>COUNTIF($H$12:$H101,H101)</f>
        <v>0</v>
      </c>
      <c r="V101" s="194"/>
      <c r="W101" s="194"/>
    </row>
    <row r="102" spans="1:23" x14ac:dyDescent="0.2">
      <c r="A102" s="115">
        <v>91</v>
      </c>
      <c r="B102" s="189"/>
      <c r="C102" s="189"/>
      <c r="D102" s="190"/>
      <c r="E102" s="191"/>
      <c r="F102" s="190"/>
      <c r="G102" s="189"/>
      <c r="H102" s="188"/>
      <c r="I102" s="189"/>
      <c r="J102" s="189"/>
      <c r="K102" s="189"/>
      <c r="L102" s="189"/>
      <c r="M102" s="178">
        <f>SUM(tbl_WohnsitzSO[[#This Row],[KLV A]:[KLV C]])</f>
        <v>0</v>
      </c>
      <c r="N102" s="117" t="str">
        <f>IFERROR(IF(IFERROR(MATCH($C$4&amp;$H102,Tabelle2[Codierung],0),0)&gt;0,VLOOKUP(H102,Tabelle1[[Ort]:[RK KLV C üD]],2,),VLOOKUP(H102,Tabelle1[[Ort]:[RK KLV C üD]],5)),"")</f>
        <v/>
      </c>
      <c r="O102" s="117" t="str">
        <f>IFERROR(IF(IFERROR(MATCH($C$4&amp;$H102,Tabelle2[Codierung],0),0)&gt;0,VLOOKUP(H102,Tabelle1[[Ort]:[RK KLV C üD]],3,),VLOOKUP(H102,Tabelle1[[Ort]:[RK KLV C üD]],6)),"")</f>
        <v/>
      </c>
      <c r="P102" s="117" t="str">
        <f>IFERROR(IF(IFERROR(MATCH($C$4&amp;$H102,Tabelle2[Codierung],0),0)&gt;0,VLOOKUP(H102,Tabelle1[[Ort]:[RK KLV C üD]],4,),VLOOKUP(H102,Tabelle1[[Ort]:[RK KLV C üD]],7)),"")</f>
        <v/>
      </c>
      <c r="Q102" s="120" t="str">
        <f>IFERROR(tbl_WohnsitzSO[[#This Row],[KLV A]]*tbl_WohnsitzSO[[#This Row],[KLV A Ansatz]]/60,"")</f>
        <v/>
      </c>
      <c r="R102" s="118" t="str">
        <f>IFERROR(tbl_WohnsitzSO[[#This Row],[KLV B]]*tbl_WohnsitzSO[[#This Row],[KLV B Ansatz]]/60,"")</f>
        <v/>
      </c>
      <c r="S102" s="118" t="str">
        <f>IFERROR(tbl_WohnsitzSO[[#This Row],[KLV C]]*tbl_WohnsitzSO[[#This Row],[KLV C Ansatz]]/60,"")</f>
        <v/>
      </c>
      <c r="T102" s="118">
        <f>IFERROR(SUM(tbl_WohnsitzSO[[#This Row],[KLV A Kosten]:[KLV C Kosten]]),"")</f>
        <v>0</v>
      </c>
      <c r="U102" s="121">
        <f>COUNTIF($H$12:$H102,H102)</f>
        <v>0</v>
      </c>
      <c r="V102" s="194"/>
      <c r="W102" s="194"/>
    </row>
    <row r="103" spans="1:23" x14ac:dyDescent="0.2">
      <c r="A103" s="115">
        <v>92</v>
      </c>
      <c r="B103" s="189"/>
      <c r="C103" s="189"/>
      <c r="D103" s="190"/>
      <c r="E103" s="191"/>
      <c r="F103" s="190"/>
      <c r="G103" s="189"/>
      <c r="H103" s="188"/>
      <c r="I103" s="189"/>
      <c r="J103" s="189"/>
      <c r="K103" s="189"/>
      <c r="L103" s="189"/>
      <c r="M103" s="178">
        <f>SUM(tbl_WohnsitzSO[[#This Row],[KLV A]:[KLV C]])</f>
        <v>0</v>
      </c>
      <c r="N103" s="117" t="str">
        <f>IFERROR(IF(IFERROR(MATCH($C$4&amp;$H103,Tabelle2[Codierung],0),0)&gt;0,VLOOKUP(H103,Tabelle1[[Ort]:[RK KLV C üD]],2,),VLOOKUP(H103,Tabelle1[[Ort]:[RK KLV C üD]],5)),"")</f>
        <v/>
      </c>
      <c r="O103" s="117" t="str">
        <f>IFERROR(IF(IFERROR(MATCH($C$4&amp;$H103,Tabelle2[Codierung],0),0)&gt;0,VLOOKUP(H103,Tabelle1[[Ort]:[RK KLV C üD]],3,),VLOOKUP(H103,Tabelle1[[Ort]:[RK KLV C üD]],6)),"")</f>
        <v/>
      </c>
      <c r="P103" s="117" t="str">
        <f>IFERROR(IF(IFERROR(MATCH($C$4&amp;$H103,Tabelle2[Codierung],0),0)&gt;0,VLOOKUP(H103,Tabelle1[[Ort]:[RK KLV C üD]],4,),VLOOKUP(H103,Tabelle1[[Ort]:[RK KLV C üD]],7)),"")</f>
        <v/>
      </c>
      <c r="Q103" s="120" t="str">
        <f>IFERROR(tbl_WohnsitzSO[[#This Row],[KLV A]]*tbl_WohnsitzSO[[#This Row],[KLV A Ansatz]]/60,"")</f>
        <v/>
      </c>
      <c r="R103" s="118" t="str">
        <f>IFERROR(tbl_WohnsitzSO[[#This Row],[KLV B]]*tbl_WohnsitzSO[[#This Row],[KLV B Ansatz]]/60,"")</f>
        <v/>
      </c>
      <c r="S103" s="118" t="str">
        <f>IFERROR(tbl_WohnsitzSO[[#This Row],[KLV C]]*tbl_WohnsitzSO[[#This Row],[KLV C Ansatz]]/60,"")</f>
        <v/>
      </c>
      <c r="T103" s="118">
        <f>IFERROR(SUM(tbl_WohnsitzSO[[#This Row],[KLV A Kosten]:[KLV C Kosten]]),"")</f>
        <v>0</v>
      </c>
      <c r="U103" s="121">
        <f>COUNTIF($H$12:$H103,H103)</f>
        <v>0</v>
      </c>
      <c r="V103" s="194"/>
      <c r="W103" s="194"/>
    </row>
    <row r="104" spans="1:23" x14ac:dyDescent="0.2">
      <c r="A104" s="115">
        <v>93</v>
      </c>
      <c r="B104" s="189"/>
      <c r="C104" s="189"/>
      <c r="D104" s="190"/>
      <c r="E104" s="191"/>
      <c r="F104" s="190"/>
      <c r="G104" s="189"/>
      <c r="H104" s="188"/>
      <c r="I104" s="189"/>
      <c r="J104" s="189"/>
      <c r="K104" s="189"/>
      <c r="L104" s="189"/>
      <c r="M104" s="178">
        <f>SUM(tbl_WohnsitzSO[[#This Row],[KLV A]:[KLV C]])</f>
        <v>0</v>
      </c>
      <c r="N104" s="117" t="str">
        <f>IFERROR(IF(IFERROR(MATCH($C$4&amp;$H104,Tabelle2[Codierung],0),0)&gt;0,VLOOKUP(H104,Tabelle1[[Ort]:[RK KLV C üD]],2,),VLOOKUP(H104,Tabelle1[[Ort]:[RK KLV C üD]],5)),"")</f>
        <v/>
      </c>
      <c r="O104" s="117" t="str">
        <f>IFERROR(IF(IFERROR(MATCH($C$4&amp;$H104,Tabelle2[Codierung],0),0)&gt;0,VLOOKUP(H104,Tabelle1[[Ort]:[RK KLV C üD]],3,),VLOOKUP(H104,Tabelle1[[Ort]:[RK KLV C üD]],6)),"")</f>
        <v/>
      </c>
      <c r="P104" s="117" t="str">
        <f>IFERROR(IF(IFERROR(MATCH($C$4&amp;$H104,Tabelle2[Codierung],0),0)&gt;0,VLOOKUP(H104,Tabelle1[[Ort]:[RK KLV C üD]],4,),VLOOKUP(H104,Tabelle1[[Ort]:[RK KLV C üD]],7)),"")</f>
        <v/>
      </c>
      <c r="Q104" s="120" t="str">
        <f>IFERROR(tbl_WohnsitzSO[[#This Row],[KLV A]]*tbl_WohnsitzSO[[#This Row],[KLV A Ansatz]]/60,"")</f>
        <v/>
      </c>
      <c r="R104" s="118" t="str">
        <f>IFERROR(tbl_WohnsitzSO[[#This Row],[KLV B]]*tbl_WohnsitzSO[[#This Row],[KLV B Ansatz]]/60,"")</f>
        <v/>
      </c>
      <c r="S104" s="118" t="str">
        <f>IFERROR(tbl_WohnsitzSO[[#This Row],[KLV C]]*tbl_WohnsitzSO[[#This Row],[KLV C Ansatz]]/60,"")</f>
        <v/>
      </c>
      <c r="T104" s="118">
        <f>IFERROR(SUM(tbl_WohnsitzSO[[#This Row],[KLV A Kosten]:[KLV C Kosten]]),"")</f>
        <v>0</v>
      </c>
      <c r="U104" s="121">
        <f>COUNTIF($H$12:$H104,H104)</f>
        <v>0</v>
      </c>
      <c r="V104" s="194"/>
      <c r="W104" s="194"/>
    </row>
    <row r="105" spans="1:23" x14ac:dyDescent="0.2">
      <c r="A105" s="115">
        <v>94</v>
      </c>
      <c r="B105" s="189"/>
      <c r="C105" s="189"/>
      <c r="D105" s="190"/>
      <c r="E105" s="191"/>
      <c r="F105" s="190"/>
      <c r="G105" s="189"/>
      <c r="H105" s="188"/>
      <c r="I105" s="189"/>
      <c r="J105" s="189"/>
      <c r="K105" s="189"/>
      <c r="L105" s="189"/>
      <c r="M105" s="178">
        <f>SUM(tbl_WohnsitzSO[[#This Row],[KLV A]:[KLV C]])</f>
        <v>0</v>
      </c>
      <c r="N105" s="117" t="str">
        <f>IFERROR(IF(IFERROR(MATCH($C$4&amp;$H105,Tabelle2[Codierung],0),0)&gt;0,VLOOKUP(H105,Tabelle1[[Ort]:[RK KLV C üD]],2,),VLOOKUP(H105,Tabelle1[[Ort]:[RK KLV C üD]],5)),"")</f>
        <v/>
      </c>
      <c r="O105" s="117" t="str">
        <f>IFERROR(IF(IFERROR(MATCH($C$4&amp;$H105,Tabelle2[Codierung],0),0)&gt;0,VLOOKUP(H105,Tabelle1[[Ort]:[RK KLV C üD]],3,),VLOOKUP(H105,Tabelle1[[Ort]:[RK KLV C üD]],6)),"")</f>
        <v/>
      </c>
      <c r="P105" s="117" t="str">
        <f>IFERROR(IF(IFERROR(MATCH($C$4&amp;$H105,Tabelle2[Codierung],0),0)&gt;0,VLOOKUP(H105,Tabelle1[[Ort]:[RK KLV C üD]],4,),VLOOKUP(H105,Tabelle1[[Ort]:[RK KLV C üD]],7)),"")</f>
        <v/>
      </c>
      <c r="Q105" s="120" t="str">
        <f>IFERROR(tbl_WohnsitzSO[[#This Row],[KLV A]]*tbl_WohnsitzSO[[#This Row],[KLV A Ansatz]]/60,"")</f>
        <v/>
      </c>
      <c r="R105" s="118" t="str">
        <f>IFERROR(tbl_WohnsitzSO[[#This Row],[KLV B]]*tbl_WohnsitzSO[[#This Row],[KLV B Ansatz]]/60,"")</f>
        <v/>
      </c>
      <c r="S105" s="118" t="str">
        <f>IFERROR(tbl_WohnsitzSO[[#This Row],[KLV C]]*tbl_WohnsitzSO[[#This Row],[KLV C Ansatz]]/60,"")</f>
        <v/>
      </c>
      <c r="T105" s="118">
        <f>IFERROR(SUM(tbl_WohnsitzSO[[#This Row],[KLV A Kosten]:[KLV C Kosten]]),"")</f>
        <v>0</v>
      </c>
      <c r="U105" s="121">
        <f>COUNTIF($H$12:$H105,H105)</f>
        <v>0</v>
      </c>
      <c r="V105" s="194"/>
      <c r="W105" s="194"/>
    </row>
    <row r="106" spans="1:23" x14ac:dyDescent="0.2">
      <c r="A106" s="115">
        <v>95</v>
      </c>
      <c r="B106" s="189"/>
      <c r="C106" s="189"/>
      <c r="D106" s="190"/>
      <c r="E106" s="191"/>
      <c r="F106" s="190"/>
      <c r="G106" s="189"/>
      <c r="H106" s="188"/>
      <c r="I106" s="189"/>
      <c r="J106" s="189"/>
      <c r="K106" s="189"/>
      <c r="L106" s="189"/>
      <c r="M106" s="178">
        <f>SUM(tbl_WohnsitzSO[[#This Row],[KLV A]:[KLV C]])</f>
        <v>0</v>
      </c>
      <c r="N106" s="117" t="str">
        <f>IFERROR(IF(IFERROR(MATCH($C$4&amp;$H106,Tabelle2[Codierung],0),0)&gt;0,VLOOKUP(H106,Tabelle1[[Ort]:[RK KLV C üD]],2,),VLOOKUP(H106,Tabelle1[[Ort]:[RK KLV C üD]],5)),"")</f>
        <v/>
      </c>
      <c r="O106" s="117" t="str">
        <f>IFERROR(IF(IFERROR(MATCH($C$4&amp;$H106,Tabelle2[Codierung],0),0)&gt;0,VLOOKUP(H106,Tabelle1[[Ort]:[RK KLV C üD]],3,),VLOOKUP(H106,Tabelle1[[Ort]:[RK KLV C üD]],6)),"")</f>
        <v/>
      </c>
      <c r="P106" s="117" t="str">
        <f>IFERROR(IF(IFERROR(MATCH($C$4&amp;$H106,Tabelle2[Codierung],0),0)&gt;0,VLOOKUP(H106,Tabelle1[[Ort]:[RK KLV C üD]],4,),VLOOKUP(H106,Tabelle1[[Ort]:[RK KLV C üD]],7)),"")</f>
        <v/>
      </c>
      <c r="Q106" s="120" t="str">
        <f>IFERROR(tbl_WohnsitzSO[[#This Row],[KLV A]]*tbl_WohnsitzSO[[#This Row],[KLV A Ansatz]]/60,"")</f>
        <v/>
      </c>
      <c r="R106" s="118" t="str">
        <f>IFERROR(tbl_WohnsitzSO[[#This Row],[KLV B]]*tbl_WohnsitzSO[[#This Row],[KLV B Ansatz]]/60,"")</f>
        <v/>
      </c>
      <c r="S106" s="118" t="str">
        <f>IFERROR(tbl_WohnsitzSO[[#This Row],[KLV C]]*tbl_WohnsitzSO[[#This Row],[KLV C Ansatz]]/60,"")</f>
        <v/>
      </c>
      <c r="T106" s="118">
        <f>IFERROR(SUM(tbl_WohnsitzSO[[#This Row],[KLV A Kosten]:[KLV C Kosten]]),"")</f>
        <v>0</v>
      </c>
      <c r="U106" s="121">
        <f>COUNTIF($H$12:$H106,H106)</f>
        <v>0</v>
      </c>
      <c r="V106" s="194"/>
      <c r="W106" s="194"/>
    </row>
    <row r="107" spans="1:23" x14ac:dyDescent="0.2">
      <c r="A107" s="115">
        <v>96</v>
      </c>
      <c r="B107" s="189"/>
      <c r="C107" s="189"/>
      <c r="D107" s="190"/>
      <c r="E107" s="191"/>
      <c r="F107" s="190"/>
      <c r="G107" s="189"/>
      <c r="H107" s="188"/>
      <c r="I107" s="189"/>
      <c r="J107" s="189"/>
      <c r="K107" s="189"/>
      <c r="L107" s="189"/>
      <c r="M107" s="178">
        <f>SUM(tbl_WohnsitzSO[[#This Row],[KLV A]:[KLV C]])</f>
        <v>0</v>
      </c>
      <c r="N107" s="117" t="str">
        <f>IFERROR(IF(IFERROR(MATCH($C$4&amp;$H107,Tabelle2[Codierung],0),0)&gt;0,VLOOKUP(H107,Tabelle1[[Ort]:[RK KLV C üD]],2,),VLOOKUP(H107,Tabelle1[[Ort]:[RK KLV C üD]],5)),"")</f>
        <v/>
      </c>
      <c r="O107" s="117" t="str">
        <f>IFERROR(IF(IFERROR(MATCH($C$4&amp;$H107,Tabelle2[Codierung],0),0)&gt;0,VLOOKUP(H107,Tabelle1[[Ort]:[RK KLV C üD]],3,),VLOOKUP(H107,Tabelle1[[Ort]:[RK KLV C üD]],6)),"")</f>
        <v/>
      </c>
      <c r="P107" s="117" t="str">
        <f>IFERROR(IF(IFERROR(MATCH($C$4&amp;$H107,Tabelle2[Codierung],0),0)&gt;0,VLOOKUP(H107,Tabelle1[[Ort]:[RK KLV C üD]],4,),VLOOKUP(H107,Tabelle1[[Ort]:[RK KLV C üD]],7)),"")</f>
        <v/>
      </c>
      <c r="Q107" s="120" t="str">
        <f>IFERROR(tbl_WohnsitzSO[[#This Row],[KLV A]]*tbl_WohnsitzSO[[#This Row],[KLV A Ansatz]]/60,"")</f>
        <v/>
      </c>
      <c r="R107" s="118" t="str">
        <f>IFERROR(tbl_WohnsitzSO[[#This Row],[KLV B]]*tbl_WohnsitzSO[[#This Row],[KLV B Ansatz]]/60,"")</f>
        <v/>
      </c>
      <c r="S107" s="118" t="str">
        <f>IFERROR(tbl_WohnsitzSO[[#This Row],[KLV C]]*tbl_WohnsitzSO[[#This Row],[KLV C Ansatz]]/60,"")</f>
        <v/>
      </c>
      <c r="T107" s="118">
        <f>IFERROR(SUM(tbl_WohnsitzSO[[#This Row],[KLV A Kosten]:[KLV C Kosten]]),"")</f>
        <v>0</v>
      </c>
      <c r="U107" s="121">
        <f>COUNTIF($H$12:$H107,H107)</f>
        <v>0</v>
      </c>
      <c r="V107" s="194"/>
      <c r="W107" s="194"/>
    </row>
    <row r="108" spans="1:23" x14ac:dyDescent="0.2">
      <c r="A108" s="115">
        <v>97</v>
      </c>
      <c r="B108" s="189"/>
      <c r="C108" s="189"/>
      <c r="D108" s="190"/>
      <c r="E108" s="191"/>
      <c r="F108" s="190"/>
      <c r="G108" s="189"/>
      <c r="H108" s="188"/>
      <c r="I108" s="189"/>
      <c r="J108" s="189"/>
      <c r="K108" s="189"/>
      <c r="L108" s="189"/>
      <c r="M108" s="178">
        <f>SUM(tbl_WohnsitzSO[[#This Row],[KLV A]:[KLV C]])</f>
        <v>0</v>
      </c>
      <c r="N108" s="117" t="str">
        <f>IFERROR(IF(IFERROR(MATCH($C$4&amp;$H108,Tabelle2[Codierung],0),0)&gt;0,VLOOKUP(H108,Tabelle1[[Ort]:[RK KLV C üD]],2,),VLOOKUP(H108,Tabelle1[[Ort]:[RK KLV C üD]],5)),"")</f>
        <v/>
      </c>
      <c r="O108" s="117" t="str">
        <f>IFERROR(IF(IFERROR(MATCH($C$4&amp;$H108,Tabelle2[Codierung],0),0)&gt;0,VLOOKUP(H108,Tabelle1[[Ort]:[RK KLV C üD]],3,),VLOOKUP(H108,Tabelle1[[Ort]:[RK KLV C üD]],6)),"")</f>
        <v/>
      </c>
      <c r="P108" s="117" t="str">
        <f>IFERROR(IF(IFERROR(MATCH($C$4&amp;$H108,Tabelle2[Codierung],0),0)&gt;0,VLOOKUP(H108,Tabelle1[[Ort]:[RK KLV C üD]],4,),VLOOKUP(H108,Tabelle1[[Ort]:[RK KLV C üD]],7)),"")</f>
        <v/>
      </c>
      <c r="Q108" s="120" t="str">
        <f>IFERROR(tbl_WohnsitzSO[[#This Row],[KLV A]]*tbl_WohnsitzSO[[#This Row],[KLV A Ansatz]]/60,"")</f>
        <v/>
      </c>
      <c r="R108" s="118" t="str">
        <f>IFERROR(tbl_WohnsitzSO[[#This Row],[KLV B]]*tbl_WohnsitzSO[[#This Row],[KLV B Ansatz]]/60,"")</f>
        <v/>
      </c>
      <c r="S108" s="118" t="str">
        <f>IFERROR(tbl_WohnsitzSO[[#This Row],[KLV C]]*tbl_WohnsitzSO[[#This Row],[KLV C Ansatz]]/60,"")</f>
        <v/>
      </c>
      <c r="T108" s="118">
        <f>IFERROR(SUM(tbl_WohnsitzSO[[#This Row],[KLV A Kosten]:[KLV C Kosten]]),"")</f>
        <v>0</v>
      </c>
      <c r="U108" s="121">
        <f>COUNTIF($H$12:$H108,H108)</f>
        <v>0</v>
      </c>
      <c r="V108" s="194"/>
      <c r="W108" s="194"/>
    </row>
    <row r="109" spans="1:23" x14ac:dyDescent="0.2">
      <c r="A109" s="115">
        <v>98</v>
      </c>
      <c r="B109" s="189"/>
      <c r="C109" s="189"/>
      <c r="D109" s="190"/>
      <c r="E109" s="191"/>
      <c r="F109" s="190"/>
      <c r="G109" s="189"/>
      <c r="H109" s="188"/>
      <c r="I109" s="189"/>
      <c r="J109" s="189"/>
      <c r="K109" s="189"/>
      <c r="L109" s="189"/>
      <c r="M109" s="178">
        <f>SUM(tbl_WohnsitzSO[[#This Row],[KLV A]:[KLV C]])</f>
        <v>0</v>
      </c>
      <c r="N109" s="117" t="str">
        <f>IFERROR(IF(IFERROR(MATCH($C$4&amp;$H109,Tabelle2[Codierung],0),0)&gt;0,VLOOKUP(H109,Tabelle1[[Ort]:[RK KLV C üD]],2,),VLOOKUP(H109,Tabelle1[[Ort]:[RK KLV C üD]],5)),"")</f>
        <v/>
      </c>
      <c r="O109" s="117" t="str">
        <f>IFERROR(IF(IFERROR(MATCH($C$4&amp;$H109,Tabelle2[Codierung],0),0)&gt;0,VLOOKUP(H109,Tabelle1[[Ort]:[RK KLV C üD]],3,),VLOOKUP(H109,Tabelle1[[Ort]:[RK KLV C üD]],6)),"")</f>
        <v/>
      </c>
      <c r="P109" s="117" t="str">
        <f>IFERROR(IF(IFERROR(MATCH($C$4&amp;$H109,Tabelle2[Codierung],0),0)&gt;0,VLOOKUP(H109,Tabelle1[[Ort]:[RK KLV C üD]],4,),VLOOKUP(H109,Tabelle1[[Ort]:[RK KLV C üD]],7)),"")</f>
        <v/>
      </c>
      <c r="Q109" s="120" t="str">
        <f>IFERROR(tbl_WohnsitzSO[[#This Row],[KLV A]]*tbl_WohnsitzSO[[#This Row],[KLV A Ansatz]]/60,"")</f>
        <v/>
      </c>
      <c r="R109" s="118" t="str">
        <f>IFERROR(tbl_WohnsitzSO[[#This Row],[KLV B]]*tbl_WohnsitzSO[[#This Row],[KLV B Ansatz]]/60,"")</f>
        <v/>
      </c>
      <c r="S109" s="118" t="str">
        <f>IFERROR(tbl_WohnsitzSO[[#This Row],[KLV C]]*tbl_WohnsitzSO[[#This Row],[KLV C Ansatz]]/60,"")</f>
        <v/>
      </c>
      <c r="T109" s="118">
        <f>IFERROR(SUM(tbl_WohnsitzSO[[#This Row],[KLV A Kosten]:[KLV C Kosten]]),"")</f>
        <v>0</v>
      </c>
      <c r="U109" s="121">
        <f>COUNTIF($H$12:$H109,H109)</f>
        <v>0</v>
      </c>
      <c r="V109" s="194"/>
      <c r="W109" s="194"/>
    </row>
    <row r="110" spans="1:23" x14ac:dyDescent="0.2">
      <c r="A110" s="115">
        <v>99</v>
      </c>
      <c r="B110" s="189"/>
      <c r="C110" s="189"/>
      <c r="D110" s="190"/>
      <c r="E110" s="191"/>
      <c r="F110" s="190"/>
      <c r="G110" s="189"/>
      <c r="H110" s="188"/>
      <c r="I110" s="189"/>
      <c r="J110" s="189"/>
      <c r="K110" s="189"/>
      <c r="L110" s="189"/>
      <c r="M110" s="178">
        <f>SUM(tbl_WohnsitzSO[[#This Row],[KLV A]:[KLV C]])</f>
        <v>0</v>
      </c>
      <c r="N110" s="117" t="str">
        <f>IFERROR(IF(IFERROR(MATCH($C$4&amp;$H110,Tabelle2[Codierung],0),0)&gt;0,VLOOKUP(H110,Tabelle1[[Ort]:[RK KLV C üD]],2,),VLOOKUP(H110,Tabelle1[[Ort]:[RK KLV C üD]],5)),"")</f>
        <v/>
      </c>
      <c r="O110" s="117" t="str">
        <f>IFERROR(IF(IFERROR(MATCH($C$4&amp;$H110,Tabelle2[Codierung],0),0)&gt;0,VLOOKUP(H110,Tabelle1[[Ort]:[RK KLV C üD]],3,),VLOOKUP(H110,Tabelle1[[Ort]:[RK KLV C üD]],6)),"")</f>
        <v/>
      </c>
      <c r="P110" s="117" t="str">
        <f>IFERROR(IF(IFERROR(MATCH($C$4&amp;$H110,Tabelle2[Codierung],0),0)&gt;0,VLOOKUP(H110,Tabelle1[[Ort]:[RK KLV C üD]],4,),VLOOKUP(H110,Tabelle1[[Ort]:[RK KLV C üD]],7)),"")</f>
        <v/>
      </c>
      <c r="Q110" s="120" t="str">
        <f>IFERROR(tbl_WohnsitzSO[[#This Row],[KLV A]]*tbl_WohnsitzSO[[#This Row],[KLV A Ansatz]]/60,"")</f>
        <v/>
      </c>
      <c r="R110" s="118" t="str">
        <f>IFERROR(tbl_WohnsitzSO[[#This Row],[KLV B]]*tbl_WohnsitzSO[[#This Row],[KLV B Ansatz]]/60,"")</f>
        <v/>
      </c>
      <c r="S110" s="118" t="str">
        <f>IFERROR(tbl_WohnsitzSO[[#This Row],[KLV C]]*tbl_WohnsitzSO[[#This Row],[KLV C Ansatz]]/60,"")</f>
        <v/>
      </c>
      <c r="T110" s="118">
        <f>IFERROR(SUM(tbl_WohnsitzSO[[#This Row],[KLV A Kosten]:[KLV C Kosten]]),"")</f>
        <v>0</v>
      </c>
      <c r="U110" s="121">
        <f>COUNTIF($H$12:$H110,H110)</f>
        <v>0</v>
      </c>
      <c r="V110" s="194"/>
      <c r="W110" s="194"/>
    </row>
    <row r="111" spans="1:23" x14ac:dyDescent="0.2">
      <c r="A111" s="115">
        <v>100</v>
      </c>
      <c r="B111" s="189"/>
      <c r="C111" s="189"/>
      <c r="D111" s="190"/>
      <c r="E111" s="191"/>
      <c r="F111" s="190"/>
      <c r="G111" s="189"/>
      <c r="H111" s="188"/>
      <c r="I111" s="189"/>
      <c r="J111" s="189"/>
      <c r="K111" s="189"/>
      <c r="L111" s="189"/>
      <c r="M111" s="178">
        <f>SUM(tbl_WohnsitzSO[[#This Row],[KLV A]:[KLV C]])</f>
        <v>0</v>
      </c>
      <c r="N111" s="117" t="str">
        <f>IFERROR(IF(IFERROR(MATCH($C$4&amp;$H111,Tabelle2[Codierung],0),0)&gt;0,VLOOKUP(H111,Tabelle1[[Ort]:[RK KLV C üD]],2,),VLOOKUP(H111,Tabelle1[[Ort]:[RK KLV C üD]],5)),"")</f>
        <v/>
      </c>
      <c r="O111" s="117" t="str">
        <f>IFERROR(IF(IFERROR(MATCH($C$4&amp;$H111,Tabelle2[Codierung],0),0)&gt;0,VLOOKUP(H111,Tabelle1[[Ort]:[RK KLV C üD]],3,),VLOOKUP(H111,Tabelle1[[Ort]:[RK KLV C üD]],6)),"")</f>
        <v/>
      </c>
      <c r="P111" s="117" t="str">
        <f>IFERROR(IF(IFERROR(MATCH($C$4&amp;$H111,Tabelle2[Codierung],0),0)&gt;0,VLOOKUP(H111,Tabelle1[[Ort]:[RK KLV C üD]],4,),VLOOKUP(H111,Tabelle1[[Ort]:[RK KLV C üD]],7)),"")</f>
        <v/>
      </c>
      <c r="Q111" s="120" t="str">
        <f>IFERROR(tbl_WohnsitzSO[[#This Row],[KLV A]]*tbl_WohnsitzSO[[#This Row],[KLV A Ansatz]]/60,"")</f>
        <v/>
      </c>
      <c r="R111" s="118" t="str">
        <f>IFERROR(tbl_WohnsitzSO[[#This Row],[KLV B]]*tbl_WohnsitzSO[[#This Row],[KLV B Ansatz]]/60,"")</f>
        <v/>
      </c>
      <c r="S111" s="118" t="str">
        <f>IFERROR(tbl_WohnsitzSO[[#This Row],[KLV C]]*tbl_WohnsitzSO[[#This Row],[KLV C Ansatz]]/60,"")</f>
        <v/>
      </c>
      <c r="T111" s="118">
        <f>IFERROR(SUM(tbl_WohnsitzSO[[#This Row],[KLV A Kosten]:[KLV C Kosten]]),"")</f>
        <v>0</v>
      </c>
      <c r="U111" s="122">
        <f>COUNTIF($H$12:$H111,H111)</f>
        <v>0</v>
      </c>
      <c r="V111" s="195"/>
      <c r="W111" s="195"/>
    </row>
  </sheetData>
  <sheetProtection password="D46B" sheet="1" objects="1" scenarios="1"/>
  <dataConsolidate/>
  <mergeCells count="17">
    <mergeCell ref="A10:B10"/>
    <mergeCell ref="F9:H9"/>
    <mergeCell ref="C4:D4"/>
    <mergeCell ref="C5:D5"/>
    <mergeCell ref="C6:D6"/>
    <mergeCell ref="C7:D7"/>
    <mergeCell ref="C8:D8"/>
    <mergeCell ref="F4:H4"/>
    <mergeCell ref="F5:H5"/>
    <mergeCell ref="F6:H6"/>
    <mergeCell ref="F7:H7"/>
    <mergeCell ref="F8:H8"/>
    <mergeCell ref="Q4:S4"/>
    <mergeCell ref="J9:M10"/>
    <mergeCell ref="N8:W8"/>
    <mergeCell ref="N9:P10"/>
    <mergeCell ref="Q9:S10"/>
  </mergeCells>
  <conditionalFormatting sqref="H12:H111">
    <cfRule type="expression" dxfId="82"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zoomScaleNormal="100" zoomScaleSheetLayoutView="100" workbookViewId="0">
      <selection activeCell="E23" sqref="E23"/>
    </sheetView>
  </sheetViews>
  <sheetFormatPr baseColWidth="10" defaultRowHeight="15" x14ac:dyDescent="0.25"/>
  <cols>
    <col min="1" max="1" width="17.25" style="92" customWidth="1"/>
    <col min="2" max="2" width="11" style="92"/>
    <col min="3" max="3" width="11.25" style="92" bestFit="1" customWidth="1"/>
    <col min="4" max="11" width="11" style="92"/>
    <col min="12" max="12" width="13.125" style="92" bestFit="1" customWidth="1"/>
    <col min="13" max="13" width="13.25" style="124" bestFit="1" customWidth="1"/>
    <col min="14" max="14" width="11" style="125"/>
    <col min="15" max="18" width="11" style="92"/>
    <col min="19" max="19" width="11" style="125"/>
    <col min="20" max="16384" width="11" style="92"/>
  </cols>
  <sheetData>
    <row r="3" spans="1:13" ht="20.25" x14ac:dyDescent="0.3">
      <c r="A3" s="89" t="s">
        <v>137</v>
      </c>
      <c r="B3" s="90"/>
      <c r="C3" s="91"/>
      <c r="D3" s="91"/>
      <c r="E3" s="91"/>
      <c r="H3" s="93">
        <f>Wohnsitz!H1</f>
        <v>2020</v>
      </c>
    </row>
    <row r="5" spans="1:13" ht="20.25" x14ac:dyDescent="0.3">
      <c r="A5" s="93" t="s">
        <v>0</v>
      </c>
      <c r="C5" s="94"/>
      <c r="D5" s="94"/>
      <c r="E5" s="94"/>
    </row>
    <row r="6" spans="1:13" ht="15.75" x14ac:dyDescent="0.25">
      <c r="A6" s="97" t="s">
        <v>1</v>
      </c>
      <c r="B6" s="277">
        <f>Wohnsitz!C4</f>
        <v>0</v>
      </c>
      <c r="C6" s="277"/>
      <c r="D6" s="277"/>
      <c r="E6" s="97" t="s">
        <v>4</v>
      </c>
      <c r="F6" s="279">
        <f>Wohnsitz!F4</f>
        <v>0</v>
      </c>
      <c r="G6" s="279"/>
      <c r="H6" s="279"/>
    </row>
    <row r="7" spans="1:13" ht="15.75" x14ac:dyDescent="0.25">
      <c r="A7" s="97" t="s">
        <v>2</v>
      </c>
      <c r="B7" s="277">
        <f>Wohnsitz!C5</f>
        <v>0</v>
      </c>
      <c r="C7" s="277"/>
      <c r="D7" s="277"/>
      <c r="E7" s="97" t="s">
        <v>5</v>
      </c>
      <c r="F7" s="279">
        <f>Wohnsitz!F5</f>
        <v>0</v>
      </c>
      <c r="G7" s="279"/>
      <c r="H7" s="279"/>
    </row>
    <row r="8" spans="1:13" ht="15.75" x14ac:dyDescent="0.25">
      <c r="A8" s="97" t="s">
        <v>3</v>
      </c>
      <c r="B8" s="277">
        <f>Wohnsitz!C6</f>
        <v>0</v>
      </c>
      <c r="C8" s="277"/>
      <c r="D8" s="277"/>
      <c r="E8" s="97" t="s">
        <v>6</v>
      </c>
      <c r="F8" s="279">
        <f>Wohnsitz!F6</f>
        <v>0</v>
      </c>
      <c r="G8" s="279"/>
      <c r="H8" s="279"/>
    </row>
    <row r="9" spans="1:13" ht="15.75" x14ac:dyDescent="0.25">
      <c r="A9" s="97" t="s">
        <v>9</v>
      </c>
      <c r="B9" s="277">
        <f>Wohnsitz!C7</f>
        <v>0</v>
      </c>
      <c r="C9" s="277"/>
      <c r="D9" s="277"/>
      <c r="E9" s="97" t="s">
        <v>7</v>
      </c>
      <c r="F9" s="279">
        <f>Wohnsitz!F7</f>
        <v>0</v>
      </c>
      <c r="G9" s="279"/>
      <c r="H9" s="279"/>
    </row>
    <row r="10" spans="1:13" ht="15.75" x14ac:dyDescent="0.25">
      <c r="A10" s="97" t="s">
        <v>10</v>
      </c>
      <c r="B10" s="277">
        <f>Wohnsitz!C8</f>
        <v>0</v>
      </c>
      <c r="C10" s="277"/>
      <c r="D10" s="277"/>
      <c r="E10" s="97" t="s">
        <v>147</v>
      </c>
      <c r="F10" s="279">
        <f>Wohnsitz!F8</f>
        <v>0</v>
      </c>
      <c r="G10" s="279"/>
      <c r="H10" s="279"/>
    </row>
    <row r="11" spans="1:13" ht="15.75" x14ac:dyDescent="0.25">
      <c r="E11" s="97" t="s">
        <v>8</v>
      </c>
      <c r="F11" s="279">
        <f>Wohnsitz!F9</f>
        <v>0</v>
      </c>
      <c r="G11" s="279"/>
      <c r="H11" s="279"/>
    </row>
    <row r="12" spans="1:13" ht="15.75" x14ac:dyDescent="0.25">
      <c r="A12" s="275" t="s">
        <v>143</v>
      </c>
      <c r="B12" s="275"/>
      <c r="C12" s="280" t="str">
        <f>Wohnsitz!C10</f>
        <v>Monat und Jahr</v>
      </c>
      <c r="D12" s="280"/>
    </row>
    <row r="13" spans="1:13" ht="16.5" thickBot="1" x14ac:dyDescent="0.3">
      <c r="A13" s="126"/>
      <c r="B13" s="126"/>
      <c r="C13" s="127"/>
    </row>
    <row r="14" spans="1:13" ht="15.75" thickBot="1" x14ac:dyDescent="0.3">
      <c r="E14" s="287" t="s">
        <v>236</v>
      </c>
      <c r="F14" s="288"/>
      <c r="G14" s="288"/>
      <c r="H14" s="289"/>
      <c r="I14" s="283" t="s">
        <v>180</v>
      </c>
      <c r="J14" s="284"/>
      <c r="K14" s="284"/>
      <c r="L14" s="284"/>
      <c r="M14" s="285"/>
    </row>
    <row r="15" spans="1:13" ht="148.5" customHeight="1" thickBot="1" x14ac:dyDescent="0.3">
      <c r="A15" s="163" t="s">
        <v>195</v>
      </c>
      <c r="B15" s="162" t="s">
        <v>191</v>
      </c>
      <c r="C15" s="162" t="s">
        <v>192</v>
      </c>
      <c r="D15" s="162"/>
      <c r="E15" s="108" t="s">
        <v>202</v>
      </c>
      <c r="F15" s="128" t="s">
        <v>203</v>
      </c>
      <c r="G15" s="129" t="s">
        <v>204</v>
      </c>
      <c r="H15" s="130" t="s">
        <v>132</v>
      </c>
      <c r="I15" s="226" t="s">
        <v>202</v>
      </c>
      <c r="J15" s="227" t="s">
        <v>211</v>
      </c>
      <c r="K15" s="228" t="s">
        <v>204</v>
      </c>
      <c r="L15" s="131" t="s">
        <v>11</v>
      </c>
      <c r="M15" s="227" t="s">
        <v>289</v>
      </c>
    </row>
    <row r="16" spans="1:13" x14ac:dyDescent="0.25">
      <c r="A16" s="132" t="str">
        <f>IFERROR(INDEX(Wohnsitz!$H:$H,_xlfn.AGGREGATE(15,6,ROW(tbl_WohnsitzSO[Ort_Wohnsitz])/(tbl_WohnsitzSO[Vorkommen]=1),ROW()-15)),"")</f>
        <v/>
      </c>
      <c r="B16" s="133" t="str">
        <f>IF(A16&lt;&gt;"",SUMIF(tbl_WohnsitzSO[Ort_Wohnsitz],'Sammel-RG Wohnsitz'!$A16,tbl_WohnsitzSO[Anzahl Pflegetage]),"")</f>
        <v/>
      </c>
      <c r="C16" s="134" t="str">
        <f>IF(A16&lt;&gt;"",SUMIF(tbl_WohnsitzSO[Ort_Wohnsitz],'Sammel-RG Wohnsitz'!$A16,tbl_WohnsitzSO[Patienten Beteiligung]),"")</f>
        <v/>
      </c>
      <c r="D16" s="134"/>
      <c r="E16" s="114" t="str">
        <f>IF(A16&lt;&gt;"",SUMIF(tbl_WohnsitzSO[Ort_Wohnsitz],'Sammel-RG Wohnsitz'!$A16,tbl_WohnsitzSO[KLV A])/60,"")</f>
        <v/>
      </c>
      <c r="F16" s="114" t="str">
        <f>IF(A16&lt;&gt;"",SUMIF(tbl_WohnsitzSO[Ort_Wohnsitz],'Sammel-RG Wohnsitz'!$A16,tbl_WohnsitzSO[KLV B])/60,"")</f>
        <v/>
      </c>
      <c r="G16" s="114" t="str">
        <f>IF(A16&lt;&gt;"",SUMIF(tbl_WohnsitzSO[Ort_Wohnsitz],'Sammel-RG Wohnsitz'!$A16,tbl_WohnsitzSO[KLV C])/60,"")</f>
        <v/>
      </c>
      <c r="H16" s="134">
        <f>SUM(E16:G16)</f>
        <v>0</v>
      </c>
      <c r="I16" s="134" t="str">
        <f>IF(A16&lt;&gt;"",SUMIF(tbl_WohnsitzSO[Ort_Wohnsitz],'Sammel-RG Wohnsitz'!$A16,tbl_WohnsitzSO[KLV A Kosten]),"")</f>
        <v/>
      </c>
      <c r="J16" s="134" t="str">
        <f>IF(A16&lt;&gt;"",SUMIF(tbl_WohnsitzSO[Ort_Wohnsitz],'Sammel-RG Wohnsitz'!$A16,tbl_WohnsitzSO[KLV B Kosten]),"")</f>
        <v/>
      </c>
      <c r="K16" s="134" t="str">
        <f>IF(A16&lt;&gt;"",SUMIF(tbl_WohnsitzSO[Ort_Wohnsitz],'Sammel-RG Wohnsitz'!$A16,tbl_WohnsitzSO[KLV C Kosten]),"")</f>
        <v/>
      </c>
      <c r="L16" s="218">
        <f>SUM(I16:K16)</f>
        <v>0</v>
      </c>
      <c r="M16" s="221" t="str">
        <f>IF(A16&lt;&gt;"",SUMIF(tbl_WohnsitzSO[Ort_Wohnsitz],'Sammel-RG Wohnsitz'!$A16,tbl_WohnsitzSO[Mittel und Gegenstände (max. MiGeL) Einstandspreise]),"")</f>
        <v/>
      </c>
    </row>
    <row r="17" spans="1:13" x14ac:dyDescent="0.25">
      <c r="A17" s="135" t="str">
        <f>IFERROR(INDEX(Wohnsitz!$H:$H,_xlfn.AGGREGATE(15,6,ROW(tbl_WohnsitzSO[Ort_Wohnsitz])/(tbl_WohnsitzSO[Vorkommen]=1),ROW()-15)),"")</f>
        <v/>
      </c>
      <c r="B17" s="136" t="str">
        <f>IF(A17&lt;&gt;"",SUMIF(tbl_WohnsitzSO[Ort_Wohnsitz],'Sammel-RG Wohnsitz'!$A17,tbl_WohnsitzSO[Anzahl Pflegetage]),"")</f>
        <v/>
      </c>
      <c r="C17" s="118" t="str">
        <f>IF(A17&lt;&gt;"",SUMIF(tbl_WohnsitzSO[Ort_Wohnsitz],'Sammel-RG Wohnsitz'!$A17,tbl_WohnsitzSO[Patienten Beteiligung]),"")</f>
        <v/>
      </c>
      <c r="D17" s="118"/>
      <c r="E17" s="118" t="str">
        <f>IF(A17&lt;&gt;"",SUMIF(tbl_WohnsitzSO[Ort_Wohnsitz],'Sammel-RG Wohnsitz'!$A17,tbl_WohnsitzSO[KLV A])/60,"")</f>
        <v/>
      </c>
      <c r="F17" s="118" t="str">
        <f>IF(A17&lt;&gt;"",SUMIF(tbl_WohnsitzSO[Ort_Wohnsitz],'Sammel-RG Wohnsitz'!$A17,tbl_WohnsitzSO[KLV B])/60,"")</f>
        <v/>
      </c>
      <c r="G17" s="118" t="str">
        <f>IF(A17&lt;&gt;"",SUMIF(tbl_WohnsitzSO[Ort_Wohnsitz],'Sammel-RG Wohnsitz'!$A17,tbl_WohnsitzSO[KLV C])/60,"")</f>
        <v/>
      </c>
      <c r="H17" s="118">
        <f t="shared" ref="H17:H30" si="0">SUM(E17:G17)</f>
        <v>0</v>
      </c>
      <c r="I17" s="118" t="str">
        <f>IF(A17&lt;&gt;"",SUMIF(tbl_WohnsitzSO[Ort_Wohnsitz],'Sammel-RG Wohnsitz'!$A17,tbl_WohnsitzSO[KLV A Kosten]),"")</f>
        <v/>
      </c>
      <c r="J17" s="118" t="str">
        <f>IF(A17&lt;&gt;"",SUMIF(tbl_WohnsitzSO[Ort_Wohnsitz],'Sammel-RG Wohnsitz'!$A17,tbl_WohnsitzSO[KLV B Kosten]),"")</f>
        <v/>
      </c>
      <c r="K17" s="118" t="str">
        <f>IF(A17&lt;&gt;"",SUMIF(tbl_WohnsitzSO[Ort_Wohnsitz],'Sammel-RG Wohnsitz'!$A17,tbl_WohnsitzSO[KLV C Kosten]),"")</f>
        <v/>
      </c>
      <c r="L17" s="219">
        <f t="shared" ref="L17:L30" si="1">SUM(I17:K17)</f>
        <v>0</v>
      </c>
      <c r="M17" s="222" t="str">
        <f>IF(A17&lt;&gt;"",SUMIF(tbl_WohnsitzSO[Ort_Wohnsitz],'Sammel-RG Wohnsitz'!$A17,tbl_WohnsitzSO[Mittel und Gegenstände (max. MiGeL) Einstandspreise]),"")</f>
        <v/>
      </c>
    </row>
    <row r="18" spans="1:13" x14ac:dyDescent="0.25">
      <c r="A18" s="135" t="str">
        <f>IFERROR(INDEX(Wohnsitz!$H:$H,_xlfn.AGGREGATE(15,6,ROW(tbl_WohnsitzSO[Ort_Wohnsitz])/(tbl_WohnsitzSO[Vorkommen]=1),ROW()-15)),"")</f>
        <v/>
      </c>
      <c r="B18" s="136" t="str">
        <f>IF(A18&lt;&gt;"",SUMIF(tbl_WohnsitzSO[Ort_Wohnsitz],'Sammel-RG Wohnsitz'!$A18,tbl_WohnsitzSO[Anzahl Pflegetage]),"")</f>
        <v/>
      </c>
      <c r="C18" s="118" t="str">
        <f>IF(A18&lt;&gt;"",SUMIF(tbl_WohnsitzSO[Ort_Wohnsitz],'Sammel-RG Wohnsitz'!$A18,tbl_WohnsitzSO[Patienten Beteiligung]),"")</f>
        <v/>
      </c>
      <c r="D18" s="118"/>
      <c r="E18" s="118" t="str">
        <f>IF(A18&lt;&gt;"",SUMIF(tbl_WohnsitzSO[Ort_Wohnsitz],'Sammel-RG Wohnsitz'!$A18,tbl_WohnsitzSO[KLV A])/60,"")</f>
        <v/>
      </c>
      <c r="F18" s="118" t="str">
        <f>IF(A18&lt;&gt;"",SUMIF(tbl_WohnsitzSO[Ort_Wohnsitz],'Sammel-RG Wohnsitz'!$A18,tbl_WohnsitzSO[KLV B])/60,"")</f>
        <v/>
      </c>
      <c r="G18" s="118" t="str">
        <f>IF(A18&lt;&gt;"",SUMIF(tbl_WohnsitzSO[Ort_Wohnsitz],'Sammel-RG Wohnsitz'!$A18,tbl_WohnsitzSO[KLV C])/60,"")</f>
        <v/>
      </c>
      <c r="H18" s="118">
        <f t="shared" si="0"/>
        <v>0</v>
      </c>
      <c r="I18" s="118" t="str">
        <f>IF(A18&lt;&gt;"",SUMIF(tbl_WohnsitzSO[Ort_Wohnsitz],'Sammel-RG Wohnsitz'!$A18,tbl_WohnsitzSO[KLV A Kosten]),"")</f>
        <v/>
      </c>
      <c r="J18" s="118" t="str">
        <f>IF(A18&lt;&gt;"",SUMIF(tbl_WohnsitzSO[Ort_Wohnsitz],'Sammel-RG Wohnsitz'!$A18,tbl_WohnsitzSO[KLV B Kosten]),"")</f>
        <v/>
      </c>
      <c r="K18" s="118" t="str">
        <f>IF(A18&lt;&gt;"",SUMIF(tbl_WohnsitzSO[Ort_Wohnsitz],'Sammel-RG Wohnsitz'!$A18,tbl_WohnsitzSO[KLV C Kosten]),"")</f>
        <v/>
      </c>
      <c r="L18" s="219">
        <f t="shared" si="1"/>
        <v>0</v>
      </c>
      <c r="M18" s="222" t="str">
        <f>IF(A18&lt;&gt;"",SUMIF(tbl_WohnsitzSO[Ort_Wohnsitz],'Sammel-RG Wohnsitz'!$A18,tbl_WohnsitzSO[Mittel und Gegenstände (max. MiGeL) Einstandspreise]),"")</f>
        <v/>
      </c>
    </row>
    <row r="19" spans="1:13" x14ac:dyDescent="0.25">
      <c r="A19" s="135" t="str">
        <f>IFERROR(INDEX(Wohnsitz!$H:$H,_xlfn.AGGREGATE(15,6,ROW(tbl_WohnsitzSO[Ort_Wohnsitz])/(tbl_WohnsitzSO[Vorkommen]=1),ROW()-15)),"")</f>
        <v/>
      </c>
      <c r="B19" s="136" t="str">
        <f>IF(A19&lt;&gt;"",SUMIF(tbl_WohnsitzSO[Ort_Wohnsitz],'Sammel-RG Wohnsitz'!$A19,tbl_WohnsitzSO[Anzahl Pflegetage]),"")</f>
        <v/>
      </c>
      <c r="C19" s="118" t="str">
        <f>IF(A19&lt;&gt;"",SUMIF(tbl_WohnsitzSO[Ort_Wohnsitz],'Sammel-RG Wohnsitz'!$A19,tbl_WohnsitzSO[Patienten Beteiligung]),"")</f>
        <v/>
      </c>
      <c r="D19" s="118"/>
      <c r="E19" s="118" t="str">
        <f>IF(A19&lt;&gt;"",SUMIF(tbl_WohnsitzSO[Ort_Wohnsitz],'Sammel-RG Wohnsitz'!$A19,tbl_WohnsitzSO[KLV A])/60,"")</f>
        <v/>
      </c>
      <c r="F19" s="118" t="str">
        <f>IF(A19&lt;&gt;"",SUMIF(tbl_WohnsitzSO[Ort_Wohnsitz],'Sammel-RG Wohnsitz'!$A19,tbl_WohnsitzSO[KLV B])/60,"")</f>
        <v/>
      </c>
      <c r="G19" s="118" t="str">
        <f>IF(A19&lt;&gt;"",SUMIF(tbl_WohnsitzSO[Ort_Wohnsitz],'Sammel-RG Wohnsitz'!$A19,tbl_WohnsitzSO[KLV C])/60,"")</f>
        <v/>
      </c>
      <c r="H19" s="118">
        <f t="shared" si="0"/>
        <v>0</v>
      </c>
      <c r="I19" s="118" t="str">
        <f>IF(A19&lt;&gt;"",SUMIF(tbl_WohnsitzSO[Ort_Wohnsitz],'Sammel-RG Wohnsitz'!$A19,tbl_WohnsitzSO[KLV A Kosten]),"")</f>
        <v/>
      </c>
      <c r="J19" s="118" t="str">
        <f>IF(A19&lt;&gt;"",SUMIF(tbl_WohnsitzSO[Ort_Wohnsitz],'Sammel-RG Wohnsitz'!$A19,tbl_WohnsitzSO[KLV B Kosten]),"")</f>
        <v/>
      </c>
      <c r="K19" s="118" t="str">
        <f>IF(A19&lt;&gt;"",SUMIF(tbl_WohnsitzSO[Ort_Wohnsitz],'Sammel-RG Wohnsitz'!$A19,tbl_WohnsitzSO[KLV C Kosten]),"")</f>
        <v/>
      </c>
      <c r="L19" s="219">
        <f t="shared" si="1"/>
        <v>0</v>
      </c>
      <c r="M19" s="222" t="str">
        <f>IF(A19&lt;&gt;"",SUMIF(tbl_WohnsitzSO[Ort_Wohnsitz],'Sammel-RG Wohnsitz'!$A19,tbl_WohnsitzSO[Mittel und Gegenstände (max. MiGeL) Einstandspreise]),"")</f>
        <v/>
      </c>
    </row>
    <row r="20" spans="1:13" x14ac:dyDescent="0.25">
      <c r="A20" s="135" t="str">
        <f>IFERROR(INDEX(Wohnsitz!$H:$H,_xlfn.AGGREGATE(15,6,ROW(tbl_WohnsitzSO[Ort_Wohnsitz])/(tbl_WohnsitzSO[Vorkommen]=1),ROW()-15)),"")</f>
        <v/>
      </c>
      <c r="B20" s="136" t="str">
        <f>IF(A20&lt;&gt;"",SUMIF(tbl_WohnsitzSO[Ort_Wohnsitz],'Sammel-RG Wohnsitz'!$A20,tbl_WohnsitzSO[Anzahl Pflegetage]),"")</f>
        <v/>
      </c>
      <c r="C20" s="118" t="str">
        <f>IF(A20&lt;&gt;"",SUMIF(tbl_WohnsitzSO[Ort_Wohnsitz],'Sammel-RG Wohnsitz'!$A20,tbl_WohnsitzSO[Patienten Beteiligung]),"")</f>
        <v/>
      </c>
      <c r="D20" s="118"/>
      <c r="E20" s="118" t="str">
        <f>IF(A20&lt;&gt;"",SUMIF(tbl_WohnsitzSO[Ort_Wohnsitz],'Sammel-RG Wohnsitz'!$A20,tbl_WohnsitzSO[KLV A])/60,"")</f>
        <v/>
      </c>
      <c r="F20" s="118" t="str">
        <f>IF(A20&lt;&gt;"",SUMIF(tbl_WohnsitzSO[Ort_Wohnsitz],'Sammel-RG Wohnsitz'!$A20,tbl_WohnsitzSO[KLV B])/60,"")</f>
        <v/>
      </c>
      <c r="G20" s="118" t="str">
        <f>IF(A20&lt;&gt;"",SUMIF(tbl_WohnsitzSO[Ort_Wohnsitz],'Sammel-RG Wohnsitz'!$A20,tbl_WohnsitzSO[KLV C])/60,"")</f>
        <v/>
      </c>
      <c r="H20" s="118">
        <f t="shared" si="0"/>
        <v>0</v>
      </c>
      <c r="I20" s="118" t="str">
        <f>IF(A20&lt;&gt;"",SUMIF(tbl_WohnsitzSO[Ort_Wohnsitz],'Sammel-RG Wohnsitz'!$A20,tbl_WohnsitzSO[KLV A Kosten]),"")</f>
        <v/>
      </c>
      <c r="J20" s="118" t="str">
        <f>IF(A20&lt;&gt;"",SUMIF(tbl_WohnsitzSO[Ort_Wohnsitz],'Sammel-RG Wohnsitz'!$A20,tbl_WohnsitzSO[KLV B Kosten]),"")</f>
        <v/>
      </c>
      <c r="K20" s="118" t="str">
        <f>IF(A20&lt;&gt;"",SUMIF(tbl_WohnsitzSO[Ort_Wohnsitz],'Sammel-RG Wohnsitz'!$A20,tbl_WohnsitzSO[KLV C Kosten]),"")</f>
        <v/>
      </c>
      <c r="L20" s="219">
        <f t="shared" si="1"/>
        <v>0</v>
      </c>
      <c r="M20" s="222" t="str">
        <f>IF(A20&lt;&gt;"",SUMIF(tbl_WohnsitzSO[Ort_Wohnsitz],'Sammel-RG Wohnsitz'!$A20,tbl_WohnsitzSO[Mittel und Gegenstände (max. MiGeL) Einstandspreise]),"")</f>
        <v/>
      </c>
    </row>
    <row r="21" spans="1:13" x14ac:dyDescent="0.25">
      <c r="A21" s="135" t="str">
        <f>IFERROR(INDEX(Wohnsitz!$H:$H,_xlfn.AGGREGATE(15,6,ROW(tbl_WohnsitzSO[Ort_Wohnsitz])/(tbl_WohnsitzSO[Vorkommen]=1),ROW()-15)),"")</f>
        <v/>
      </c>
      <c r="B21" s="136" t="str">
        <f>IF(A21&lt;&gt;"",SUMIF(tbl_WohnsitzSO[Ort_Wohnsitz],'Sammel-RG Wohnsitz'!$A21,tbl_WohnsitzSO[Anzahl Pflegetage]),"")</f>
        <v/>
      </c>
      <c r="C21" s="118" t="str">
        <f>IF(A21&lt;&gt;"",SUMIF(tbl_WohnsitzSO[Ort_Wohnsitz],'Sammel-RG Wohnsitz'!$A21,tbl_WohnsitzSO[Patienten Beteiligung]),"")</f>
        <v/>
      </c>
      <c r="D21" s="118"/>
      <c r="E21" s="118" t="str">
        <f>IF(A21&lt;&gt;"",SUMIF(tbl_WohnsitzSO[Ort_Wohnsitz],'Sammel-RG Wohnsitz'!$A21,tbl_WohnsitzSO[KLV A])/60,"")</f>
        <v/>
      </c>
      <c r="F21" s="118" t="str">
        <f>IF(A21&lt;&gt;"",SUMIF(tbl_WohnsitzSO[Ort_Wohnsitz],'Sammel-RG Wohnsitz'!$A21,tbl_WohnsitzSO[KLV B])/60,"")</f>
        <v/>
      </c>
      <c r="G21" s="118" t="str">
        <f>IF(A21&lt;&gt;"",SUMIF(tbl_WohnsitzSO[Ort_Wohnsitz],'Sammel-RG Wohnsitz'!$A21,tbl_WohnsitzSO[KLV C])/60,"")</f>
        <v/>
      </c>
      <c r="H21" s="118">
        <f t="shared" si="0"/>
        <v>0</v>
      </c>
      <c r="I21" s="118" t="str">
        <f>IF(A21&lt;&gt;"",SUMIF(tbl_WohnsitzSO[Ort_Wohnsitz],'Sammel-RG Wohnsitz'!$A21,tbl_WohnsitzSO[KLV A Kosten]),"")</f>
        <v/>
      </c>
      <c r="J21" s="118" t="str">
        <f>IF(A21&lt;&gt;"",SUMIF(tbl_WohnsitzSO[Ort_Wohnsitz],'Sammel-RG Wohnsitz'!$A21,tbl_WohnsitzSO[KLV B Kosten]),"")</f>
        <v/>
      </c>
      <c r="K21" s="118" t="str">
        <f>IF(A21&lt;&gt;"",SUMIF(tbl_WohnsitzSO[Ort_Wohnsitz],'Sammel-RG Wohnsitz'!$A21,tbl_WohnsitzSO[KLV C Kosten]),"")</f>
        <v/>
      </c>
      <c r="L21" s="219">
        <f t="shared" si="1"/>
        <v>0</v>
      </c>
      <c r="M21" s="222" t="str">
        <f>IF(A21&lt;&gt;"",SUMIF(tbl_WohnsitzSO[Ort_Wohnsitz],'Sammel-RG Wohnsitz'!$A21,tbl_WohnsitzSO[Mittel und Gegenstände (max. MiGeL) Einstandspreise]),"")</f>
        <v/>
      </c>
    </row>
    <row r="22" spans="1:13" x14ac:dyDescent="0.25">
      <c r="A22" s="135" t="str">
        <f>IFERROR(INDEX(Wohnsitz!$H:$H,_xlfn.AGGREGATE(15,6,ROW(tbl_WohnsitzSO[Ort_Wohnsitz])/(tbl_WohnsitzSO[Vorkommen]=1),ROW()-15)),"")</f>
        <v/>
      </c>
      <c r="B22" s="136" t="str">
        <f>IF(A22&lt;&gt;"",SUMIF(tbl_WohnsitzSO[Ort_Wohnsitz],'Sammel-RG Wohnsitz'!$A22,tbl_WohnsitzSO[Anzahl Pflegetage]),"")</f>
        <v/>
      </c>
      <c r="C22" s="118" t="str">
        <f>IF(A22&lt;&gt;"",SUMIF(tbl_WohnsitzSO[Ort_Wohnsitz],'Sammel-RG Wohnsitz'!$A22,tbl_WohnsitzSO[Patienten Beteiligung]),"")</f>
        <v/>
      </c>
      <c r="D22" s="118"/>
      <c r="E22" s="118" t="str">
        <f>IF(A22&lt;&gt;"",SUMIF(tbl_WohnsitzSO[Ort_Wohnsitz],'Sammel-RG Wohnsitz'!$A22,tbl_WohnsitzSO[KLV A])/60,"")</f>
        <v/>
      </c>
      <c r="F22" s="118" t="str">
        <f>IF(A22&lt;&gt;"",SUMIF(tbl_WohnsitzSO[Ort_Wohnsitz],'Sammel-RG Wohnsitz'!$A22,tbl_WohnsitzSO[KLV B])/60,"")</f>
        <v/>
      </c>
      <c r="G22" s="118" t="str">
        <f>IF(A22&lt;&gt;"",SUMIF(tbl_WohnsitzSO[Ort_Wohnsitz],'Sammel-RG Wohnsitz'!$A22,tbl_WohnsitzSO[KLV C])/60,"")</f>
        <v/>
      </c>
      <c r="H22" s="118">
        <f t="shared" ref="H22:H26" si="2">SUM(E22:G22)</f>
        <v>0</v>
      </c>
      <c r="I22" s="118" t="str">
        <f>IF(A22&lt;&gt;"",SUMIF(tbl_WohnsitzSO[Ort_Wohnsitz],'Sammel-RG Wohnsitz'!$A22,tbl_WohnsitzSO[KLV A Kosten]),"")</f>
        <v/>
      </c>
      <c r="J22" s="118" t="str">
        <f>IF(A22&lt;&gt;"",SUMIF(tbl_WohnsitzSO[Ort_Wohnsitz],'Sammel-RG Wohnsitz'!$A22,tbl_WohnsitzSO[KLV B Kosten]),"")</f>
        <v/>
      </c>
      <c r="K22" s="118" t="str">
        <f>IF(A22&lt;&gt;"",SUMIF(tbl_WohnsitzSO[Ort_Wohnsitz],'Sammel-RG Wohnsitz'!$A22,tbl_WohnsitzSO[KLV C Kosten]),"")</f>
        <v/>
      </c>
      <c r="L22" s="219">
        <f t="shared" ref="L22:L26" si="3">SUM(I22:K22)</f>
        <v>0</v>
      </c>
      <c r="M22" s="222" t="str">
        <f>IF(A22&lt;&gt;"",SUMIF(tbl_WohnsitzSO[Ort_Wohnsitz],'Sammel-RG Wohnsitz'!$A22,tbl_WohnsitzSO[Mittel und Gegenstände (max. MiGeL) Einstandspreise]),"")</f>
        <v/>
      </c>
    </row>
    <row r="23" spans="1:13" x14ac:dyDescent="0.25">
      <c r="A23" s="135" t="str">
        <f>IFERROR(INDEX(Wohnsitz!$H:$H,_xlfn.AGGREGATE(15,6,ROW(tbl_WohnsitzSO[Ort_Wohnsitz])/(tbl_WohnsitzSO[Vorkommen]=1),ROW()-15)),"")</f>
        <v/>
      </c>
      <c r="B23" s="136" t="str">
        <f>IF(A23&lt;&gt;"",SUMIF(tbl_WohnsitzSO[Ort_Wohnsitz],'Sammel-RG Wohnsitz'!$A23,tbl_WohnsitzSO[Anzahl Pflegetage]),"")</f>
        <v/>
      </c>
      <c r="C23" s="118" t="str">
        <f>IF(A23&lt;&gt;"",SUMIF(tbl_WohnsitzSO[Ort_Wohnsitz],'Sammel-RG Wohnsitz'!$A23,tbl_WohnsitzSO[Patienten Beteiligung]),"")</f>
        <v/>
      </c>
      <c r="D23" s="118"/>
      <c r="E23" s="118" t="str">
        <f>IF(A23&lt;&gt;"",SUMIF(tbl_WohnsitzSO[Ort_Wohnsitz],'Sammel-RG Wohnsitz'!$A23,tbl_WohnsitzSO[KLV A])/60,"")</f>
        <v/>
      </c>
      <c r="F23" s="118" t="str">
        <f>IF(A23&lt;&gt;"",SUMIF(tbl_WohnsitzSO[Ort_Wohnsitz],'Sammel-RG Wohnsitz'!$A23,tbl_WohnsitzSO[KLV B])/60,"")</f>
        <v/>
      </c>
      <c r="G23" s="118" t="str">
        <f>IF(A23&lt;&gt;"",SUMIF(tbl_WohnsitzSO[Ort_Wohnsitz],'Sammel-RG Wohnsitz'!$A23,tbl_WohnsitzSO[KLV C])/60,"")</f>
        <v/>
      </c>
      <c r="H23" s="118">
        <f t="shared" si="2"/>
        <v>0</v>
      </c>
      <c r="I23" s="118" t="str">
        <f>IF(A23&lt;&gt;"",SUMIF(tbl_WohnsitzSO[Ort_Wohnsitz],'Sammel-RG Wohnsitz'!$A23,tbl_WohnsitzSO[KLV A Kosten]),"")</f>
        <v/>
      </c>
      <c r="J23" s="118" t="str">
        <f>IF(A23&lt;&gt;"",SUMIF(tbl_WohnsitzSO[Ort_Wohnsitz],'Sammel-RG Wohnsitz'!$A23,tbl_WohnsitzSO[KLV B Kosten]),"")</f>
        <v/>
      </c>
      <c r="K23" s="118" t="str">
        <f>IF(A23&lt;&gt;"",SUMIF(tbl_WohnsitzSO[Ort_Wohnsitz],'Sammel-RG Wohnsitz'!$A23,tbl_WohnsitzSO[KLV C Kosten]),"")</f>
        <v/>
      </c>
      <c r="L23" s="219">
        <f t="shared" si="3"/>
        <v>0</v>
      </c>
      <c r="M23" s="222" t="str">
        <f>IF(A23&lt;&gt;"",SUMIF(tbl_WohnsitzSO[Ort_Wohnsitz],'Sammel-RG Wohnsitz'!$A23,tbl_WohnsitzSO[Mittel und Gegenstände (max. MiGeL) Einstandspreise]),"")</f>
        <v/>
      </c>
    </row>
    <row r="24" spans="1:13" x14ac:dyDescent="0.25">
      <c r="A24" s="135" t="str">
        <f>IFERROR(INDEX(Wohnsitz!$H:$H,_xlfn.AGGREGATE(15,6,ROW(tbl_WohnsitzSO[Ort_Wohnsitz])/(tbl_WohnsitzSO[Vorkommen]=1),ROW()-15)),"")</f>
        <v/>
      </c>
      <c r="B24" s="136" t="str">
        <f>IF(A24&lt;&gt;"",SUMIF(tbl_WohnsitzSO[Ort_Wohnsitz],'Sammel-RG Wohnsitz'!$A24,tbl_WohnsitzSO[Anzahl Pflegetage]),"")</f>
        <v/>
      </c>
      <c r="C24" s="118" t="str">
        <f>IF(A24&lt;&gt;"",SUMIF(tbl_WohnsitzSO[Ort_Wohnsitz],'Sammel-RG Wohnsitz'!$A24,tbl_WohnsitzSO[Patienten Beteiligung]),"")</f>
        <v/>
      </c>
      <c r="D24" s="118"/>
      <c r="E24" s="118" t="str">
        <f>IF(A24&lt;&gt;"",SUMIF(tbl_WohnsitzSO[Ort_Wohnsitz],'Sammel-RG Wohnsitz'!$A24,tbl_WohnsitzSO[KLV A])/60,"")</f>
        <v/>
      </c>
      <c r="F24" s="118" t="str">
        <f>IF(A24&lt;&gt;"",SUMIF(tbl_WohnsitzSO[Ort_Wohnsitz],'Sammel-RG Wohnsitz'!$A24,tbl_WohnsitzSO[KLV B])/60,"")</f>
        <v/>
      </c>
      <c r="G24" s="118" t="str">
        <f>IF(A24&lt;&gt;"",SUMIF(tbl_WohnsitzSO[Ort_Wohnsitz],'Sammel-RG Wohnsitz'!$A24,tbl_WohnsitzSO[KLV C])/60,"")</f>
        <v/>
      </c>
      <c r="H24" s="118">
        <f t="shared" si="2"/>
        <v>0</v>
      </c>
      <c r="I24" s="118" t="str">
        <f>IF(A24&lt;&gt;"",SUMIF(tbl_WohnsitzSO[Ort_Wohnsitz],'Sammel-RG Wohnsitz'!$A24,tbl_WohnsitzSO[KLV A Kosten]),"")</f>
        <v/>
      </c>
      <c r="J24" s="118" t="str">
        <f>IF(A24&lt;&gt;"",SUMIF(tbl_WohnsitzSO[Ort_Wohnsitz],'Sammel-RG Wohnsitz'!$A24,tbl_WohnsitzSO[KLV B Kosten]),"")</f>
        <v/>
      </c>
      <c r="K24" s="118" t="str">
        <f>IF(A24&lt;&gt;"",SUMIF(tbl_WohnsitzSO[Ort_Wohnsitz],'Sammel-RG Wohnsitz'!$A24,tbl_WohnsitzSO[KLV C Kosten]),"")</f>
        <v/>
      </c>
      <c r="L24" s="219">
        <f t="shared" si="3"/>
        <v>0</v>
      </c>
      <c r="M24" s="222" t="str">
        <f>IF(A24&lt;&gt;"",SUMIF(tbl_WohnsitzSO[Ort_Wohnsitz],'Sammel-RG Wohnsitz'!$A24,tbl_WohnsitzSO[Mittel und Gegenstände (max. MiGeL) Einstandspreise]),"")</f>
        <v/>
      </c>
    </row>
    <row r="25" spans="1:13" x14ac:dyDescent="0.25">
      <c r="A25" s="135" t="str">
        <f>IFERROR(INDEX(Wohnsitz!$H:$H,_xlfn.AGGREGATE(15,6,ROW(tbl_WohnsitzSO[Ort_Wohnsitz])/(tbl_WohnsitzSO[Vorkommen]=1),ROW()-15)),"")</f>
        <v/>
      </c>
      <c r="B25" s="136" t="str">
        <f>IF(A25&lt;&gt;"",SUMIF(tbl_WohnsitzSO[Ort_Wohnsitz],'Sammel-RG Wohnsitz'!$A25,tbl_WohnsitzSO[Anzahl Pflegetage]),"")</f>
        <v/>
      </c>
      <c r="C25" s="118" t="str">
        <f>IF(A25&lt;&gt;"",SUMIF(tbl_WohnsitzSO[Ort_Wohnsitz],'Sammel-RG Wohnsitz'!$A25,tbl_WohnsitzSO[Patienten Beteiligung]),"")</f>
        <v/>
      </c>
      <c r="D25" s="118"/>
      <c r="E25" s="118" t="str">
        <f>IF(A25&lt;&gt;"",SUMIF(tbl_WohnsitzSO[Ort_Wohnsitz],'Sammel-RG Wohnsitz'!$A25,tbl_WohnsitzSO[KLV A])/60,"")</f>
        <v/>
      </c>
      <c r="F25" s="118" t="str">
        <f>IF(A25&lt;&gt;"",SUMIF(tbl_WohnsitzSO[Ort_Wohnsitz],'Sammel-RG Wohnsitz'!$A25,tbl_WohnsitzSO[KLV B])/60,"")</f>
        <v/>
      </c>
      <c r="G25" s="118" t="str">
        <f>IF(A25&lt;&gt;"",SUMIF(tbl_WohnsitzSO[Ort_Wohnsitz],'Sammel-RG Wohnsitz'!$A25,tbl_WohnsitzSO[KLV C])/60,"")</f>
        <v/>
      </c>
      <c r="H25" s="118">
        <f t="shared" si="2"/>
        <v>0</v>
      </c>
      <c r="I25" s="118" t="str">
        <f>IF(A25&lt;&gt;"",SUMIF(tbl_WohnsitzSO[Ort_Wohnsitz],'Sammel-RG Wohnsitz'!$A25,tbl_WohnsitzSO[KLV A Kosten]),"")</f>
        <v/>
      </c>
      <c r="J25" s="118" t="str">
        <f>IF(A25&lt;&gt;"",SUMIF(tbl_WohnsitzSO[Ort_Wohnsitz],'Sammel-RG Wohnsitz'!$A25,tbl_WohnsitzSO[KLV B Kosten]),"")</f>
        <v/>
      </c>
      <c r="K25" s="118" t="str">
        <f>IF(A25&lt;&gt;"",SUMIF(tbl_WohnsitzSO[Ort_Wohnsitz],'Sammel-RG Wohnsitz'!$A25,tbl_WohnsitzSO[KLV C Kosten]),"")</f>
        <v/>
      </c>
      <c r="L25" s="219">
        <f t="shared" si="3"/>
        <v>0</v>
      </c>
      <c r="M25" s="222" t="str">
        <f>IF(A25&lt;&gt;"",SUMIF(tbl_WohnsitzSO[Ort_Wohnsitz],'Sammel-RG Wohnsitz'!$A25,tbl_WohnsitzSO[Mittel und Gegenstände (max. MiGeL) Einstandspreise]),"")</f>
        <v/>
      </c>
    </row>
    <row r="26" spans="1:13" x14ac:dyDescent="0.25">
      <c r="A26" s="135" t="str">
        <f>IFERROR(INDEX(Wohnsitz!$H:$H,_xlfn.AGGREGATE(15,6,ROW(tbl_WohnsitzSO[Ort_Wohnsitz])/(tbl_WohnsitzSO[Vorkommen]=1),ROW()-15)),"")</f>
        <v/>
      </c>
      <c r="B26" s="136" t="str">
        <f>IF(A26&lt;&gt;"",SUMIF(tbl_WohnsitzSO[Ort_Wohnsitz],'Sammel-RG Wohnsitz'!$A26,tbl_WohnsitzSO[Anzahl Pflegetage]),"")</f>
        <v/>
      </c>
      <c r="C26" s="118" t="str">
        <f>IF(A26&lt;&gt;"",SUMIF(tbl_WohnsitzSO[Ort_Wohnsitz],'Sammel-RG Wohnsitz'!$A26,tbl_WohnsitzSO[Patienten Beteiligung]),"")</f>
        <v/>
      </c>
      <c r="D26" s="118"/>
      <c r="E26" s="118" t="str">
        <f>IF(A26&lt;&gt;"",SUMIF(tbl_WohnsitzSO[Ort_Wohnsitz],'Sammel-RG Wohnsitz'!$A26,tbl_WohnsitzSO[KLV A])/60,"")</f>
        <v/>
      </c>
      <c r="F26" s="118" t="str">
        <f>IF(A26&lt;&gt;"",SUMIF(tbl_WohnsitzSO[Ort_Wohnsitz],'Sammel-RG Wohnsitz'!$A26,tbl_WohnsitzSO[KLV B])/60,"")</f>
        <v/>
      </c>
      <c r="G26" s="118" t="str">
        <f>IF(A26&lt;&gt;"",SUMIF(tbl_WohnsitzSO[Ort_Wohnsitz],'Sammel-RG Wohnsitz'!$A26,tbl_WohnsitzSO[KLV C])/60,"")</f>
        <v/>
      </c>
      <c r="H26" s="118">
        <f t="shared" si="2"/>
        <v>0</v>
      </c>
      <c r="I26" s="118" t="str">
        <f>IF(A26&lt;&gt;"",SUMIF(tbl_WohnsitzSO[Ort_Wohnsitz],'Sammel-RG Wohnsitz'!$A26,tbl_WohnsitzSO[KLV A Kosten]),"")</f>
        <v/>
      </c>
      <c r="J26" s="118" t="str">
        <f>IF(A26&lt;&gt;"",SUMIF(tbl_WohnsitzSO[Ort_Wohnsitz],'Sammel-RG Wohnsitz'!$A26,tbl_WohnsitzSO[KLV B Kosten]),"")</f>
        <v/>
      </c>
      <c r="K26" s="118" t="str">
        <f>IF(A26&lt;&gt;"",SUMIF(tbl_WohnsitzSO[Ort_Wohnsitz],'Sammel-RG Wohnsitz'!$A26,tbl_WohnsitzSO[KLV C Kosten]),"")</f>
        <v/>
      </c>
      <c r="L26" s="219">
        <f t="shared" si="3"/>
        <v>0</v>
      </c>
      <c r="M26" s="222" t="str">
        <f>IF(A26&lt;&gt;"",SUMIF(tbl_WohnsitzSO[Ort_Wohnsitz],'Sammel-RG Wohnsitz'!$A26,tbl_WohnsitzSO[Mittel und Gegenstände (max. MiGeL) Einstandspreise]),"")</f>
        <v/>
      </c>
    </row>
    <row r="27" spans="1:13" x14ac:dyDescent="0.25">
      <c r="A27" s="135" t="str">
        <f>IFERROR(INDEX(Wohnsitz!$H:$H,_xlfn.AGGREGATE(15,6,ROW(tbl_WohnsitzSO[Ort_Wohnsitz])/(tbl_WohnsitzSO[Vorkommen]=1),ROW()-15)),"")</f>
        <v/>
      </c>
      <c r="B27" s="136" t="str">
        <f>IF(A27&lt;&gt;"",SUMIF(tbl_WohnsitzSO[Ort_Wohnsitz],'Sammel-RG Wohnsitz'!$A27,tbl_WohnsitzSO[Anzahl Pflegetage]),"")</f>
        <v/>
      </c>
      <c r="C27" s="118" t="str">
        <f>IF(A27&lt;&gt;"",SUMIF(tbl_WohnsitzSO[Ort_Wohnsitz],'Sammel-RG Wohnsitz'!$A27,tbl_WohnsitzSO[Patienten Beteiligung]),"")</f>
        <v/>
      </c>
      <c r="D27" s="118"/>
      <c r="E27" s="118" t="str">
        <f>IF(A27&lt;&gt;"",SUMIF(tbl_WohnsitzSO[Ort_Wohnsitz],'Sammel-RG Wohnsitz'!$A27,tbl_WohnsitzSO[KLV A])/60,"")</f>
        <v/>
      </c>
      <c r="F27" s="118" t="str">
        <f>IF(A27&lt;&gt;"",SUMIF(tbl_WohnsitzSO[Ort_Wohnsitz],'Sammel-RG Wohnsitz'!$A27,tbl_WohnsitzSO[KLV B])/60,"")</f>
        <v/>
      </c>
      <c r="G27" s="118" t="str">
        <f>IF(A27&lt;&gt;"",SUMIF(tbl_WohnsitzSO[Ort_Wohnsitz],'Sammel-RG Wohnsitz'!$A27,tbl_WohnsitzSO[KLV C])/60,"")</f>
        <v/>
      </c>
      <c r="H27" s="118">
        <f t="shared" si="0"/>
        <v>0</v>
      </c>
      <c r="I27" s="118" t="str">
        <f>IF(A27&lt;&gt;"",SUMIF(tbl_WohnsitzSO[Ort_Wohnsitz],'Sammel-RG Wohnsitz'!$A27,tbl_WohnsitzSO[KLV A Kosten]),"")</f>
        <v/>
      </c>
      <c r="J27" s="118" t="str">
        <f>IF(A27&lt;&gt;"",SUMIF(tbl_WohnsitzSO[Ort_Wohnsitz],'Sammel-RG Wohnsitz'!$A27,tbl_WohnsitzSO[KLV B Kosten]),"")</f>
        <v/>
      </c>
      <c r="K27" s="118" t="str">
        <f>IF(A27&lt;&gt;"",SUMIF(tbl_WohnsitzSO[Ort_Wohnsitz],'Sammel-RG Wohnsitz'!$A27,tbl_WohnsitzSO[KLV C Kosten]),"")</f>
        <v/>
      </c>
      <c r="L27" s="219">
        <f t="shared" si="1"/>
        <v>0</v>
      </c>
      <c r="M27" s="222" t="str">
        <f>IF(A27&lt;&gt;"",SUMIF(tbl_WohnsitzSO[Ort_Wohnsitz],'Sammel-RG Wohnsitz'!$A27,tbl_WohnsitzSO[Mittel und Gegenstände (max. MiGeL) Einstandspreise]),"")</f>
        <v/>
      </c>
    </row>
    <row r="28" spans="1:13" x14ac:dyDescent="0.25">
      <c r="A28" s="135" t="str">
        <f>IFERROR(INDEX(Wohnsitz!$H:$H,_xlfn.AGGREGATE(15,6,ROW(tbl_WohnsitzSO[Ort_Wohnsitz])/(tbl_WohnsitzSO[Vorkommen]=1),ROW()-15)),"")</f>
        <v/>
      </c>
      <c r="B28" s="136" t="str">
        <f>IF(A28&lt;&gt;"",SUMIF(tbl_WohnsitzSO[Ort_Wohnsitz],'Sammel-RG Wohnsitz'!$A28,tbl_WohnsitzSO[Anzahl Pflegetage]),"")</f>
        <v/>
      </c>
      <c r="C28" s="118" t="str">
        <f>IF(A28&lt;&gt;"",SUMIF(tbl_WohnsitzSO[Ort_Wohnsitz],'Sammel-RG Wohnsitz'!$A28,tbl_WohnsitzSO[Patienten Beteiligung]),"")</f>
        <v/>
      </c>
      <c r="D28" s="118"/>
      <c r="E28" s="118" t="str">
        <f>IF(A28&lt;&gt;"",SUMIF(tbl_WohnsitzSO[Ort_Wohnsitz],'Sammel-RG Wohnsitz'!$A28,tbl_WohnsitzSO[KLV A])/60,"")</f>
        <v/>
      </c>
      <c r="F28" s="118" t="str">
        <f>IF(A28&lt;&gt;"",SUMIF(tbl_WohnsitzSO[Ort_Wohnsitz],'Sammel-RG Wohnsitz'!$A28,tbl_WohnsitzSO[KLV B])/60,"")</f>
        <v/>
      </c>
      <c r="G28" s="118" t="str">
        <f>IF(A28&lt;&gt;"",SUMIF(tbl_WohnsitzSO[Ort_Wohnsitz],'Sammel-RG Wohnsitz'!$A28,tbl_WohnsitzSO[KLV C])/60,"")</f>
        <v/>
      </c>
      <c r="H28" s="118">
        <f t="shared" si="0"/>
        <v>0</v>
      </c>
      <c r="I28" s="118" t="str">
        <f>IF(A28&lt;&gt;"",SUMIF(tbl_WohnsitzSO[Ort_Wohnsitz],'Sammel-RG Wohnsitz'!$A28,tbl_WohnsitzSO[KLV A Kosten]),"")</f>
        <v/>
      </c>
      <c r="J28" s="118" t="str">
        <f>IF(A28&lt;&gt;"",SUMIF(tbl_WohnsitzSO[Ort_Wohnsitz],'Sammel-RG Wohnsitz'!$A28,tbl_WohnsitzSO[KLV B Kosten]),"")</f>
        <v/>
      </c>
      <c r="K28" s="118" t="str">
        <f>IF(A28&lt;&gt;"",SUMIF(tbl_WohnsitzSO[Ort_Wohnsitz],'Sammel-RG Wohnsitz'!$A28,tbl_WohnsitzSO[KLV C Kosten]),"")</f>
        <v/>
      </c>
      <c r="L28" s="219">
        <f t="shared" si="1"/>
        <v>0</v>
      </c>
      <c r="M28" s="222" t="str">
        <f>IF(A28&lt;&gt;"",SUMIF(tbl_WohnsitzSO[Ort_Wohnsitz],'Sammel-RG Wohnsitz'!$A28,tbl_WohnsitzSO[Mittel und Gegenstände (max. MiGeL) Einstandspreise]),"")</f>
        <v/>
      </c>
    </row>
    <row r="29" spans="1:13" x14ac:dyDescent="0.25">
      <c r="A29" s="135" t="str">
        <f>IFERROR(INDEX(Wohnsitz!$H:$H,_xlfn.AGGREGATE(15,6,ROW(tbl_WohnsitzSO[Ort_Wohnsitz])/(tbl_WohnsitzSO[Vorkommen]=1),ROW()-15)),"")</f>
        <v/>
      </c>
      <c r="B29" s="136" t="str">
        <f>IF(A29&lt;&gt;"",SUMIF(tbl_WohnsitzSO[Ort_Wohnsitz],'Sammel-RG Wohnsitz'!$A29,tbl_WohnsitzSO[Anzahl Pflegetage]),"")</f>
        <v/>
      </c>
      <c r="C29" s="118" t="str">
        <f>IF(A29&lt;&gt;"",SUMIF(tbl_WohnsitzSO[Ort_Wohnsitz],'Sammel-RG Wohnsitz'!$A29,tbl_WohnsitzSO[Patienten Beteiligung]),"")</f>
        <v/>
      </c>
      <c r="D29" s="118"/>
      <c r="E29" s="118" t="str">
        <f>IF(A29&lt;&gt;"",SUMIF(tbl_WohnsitzSO[Ort_Wohnsitz],'Sammel-RG Wohnsitz'!$A29,tbl_WohnsitzSO[KLV A])/60,"")</f>
        <v/>
      </c>
      <c r="F29" s="118" t="str">
        <f>IF(A29&lt;&gt;"",SUMIF(tbl_WohnsitzSO[Ort_Wohnsitz],'Sammel-RG Wohnsitz'!$A29,tbl_WohnsitzSO[KLV B])/60,"")</f>
        <v/>
      </c>
      <c r="G29" s="118" t="str">
        <f>IF(A29&lt;&gt;"",SUMIF(tbl_WohnsitzSO[Ort_Wohnsitz],'Sammel-RG Wohnsitz'!$A29,tbl_WohnsitzSO[KLV C])/60,"")</f>
        <v/>
      </c>
      <c r="H29" s="118">
        <f t="shared" si="0"/>
        <v>0</v>
      </c>
      <c r="I29" s="118" t="str">
        <f>IF(A29&lt;&gt;"",SUMIF(tbl_WohnsitzSO[Ort_Wohnsitz],'Sammel-RG Wohnsitz'!$A29,tbl_WohnsitzSO[KLV A Kosten]),"")</f>
        <v/>
      </c>
      <c r="J29" s="118" t="str">
        <f>IF(A29&lt;&gt;"",SUMIF(tbl_WohnsitzSO[Ort_Wohnsitz],'Sammel-RG Wohnsitz'!$A29,tbl_WohnsitzSO[KLV B Kosten]),"")</f>
        <v/>
      </c>
      <c r="K29" s="118" t="str">
        <f>IF(A29&lt;&gt;"",SUMIF(tbl_WohnsitzSO[Ort_Wohnsitz],'Sammel-RG Wohnsitz'!$A29,tbl_WohnsitzSO[KLV C Kosten]),"")</f>
        <v/>
      </c>
      <c r="L29" s="219">
        <f t="shared" si="1"/>
        <v>0</v>
      </c>
      <c r="M29" s="222" t="str">
        <f>IF(A29&lt;&gt;"",SUMIF(tbl_WohnsitzSO[Ort_Wohnsitz],'Sammel-RG Wohnsitz'!$A29,tbl_WohnsitzSO[Mittel und Gegenstände (max. MiGeL) Einstandspreise]),"")</f>
        <v/>
      </c>
    </row>
    <row r="30" spans="1:13" ht="15.75" thickBot="1" x14ac:dyDescent="0.3">
      <c r="A30" s="137" t="str">
        <f>IFERROR(INDEX(Wohnsitz!$H:$H,_xlfn.AGGREGATE(15,6,ROW(tbl_WohnsitzSO[Ort_Wohnsitz])/(tbl_WohnsitzSO[Vorkommen]=1),ROW()-15)),"")</f>
        <v/>
      </c>
      <c r="B30" s="138" t="str">
        <f>IF(A30&lt;&gt;"",SUMIF(tbl_WohnsitzSO[Ort_Wohnsitz],'Sammel-RG Wohnsitz'!$A30,tbl_WohnsitzSO[Anzahl Pflegetage]),"")</f>
        <v/>
      </c>
      <c r="C30" s="139" t="str">
        <f>IF(A30&lt;&gt;"",SUMIF(tbl_WohnsitzSO[Ort_Wohnsitz],'Sammel-RG Wohnsitz'!$A30,tbl_WohnsitzSO[Patienten Beteiligung]),"")</f>
        <v/>
      </c>
      <c r="D30" s="139"/>
      <c r="E30" s="139" t="str">
        <f>IF(A30&lt;&gt;"",SUMIF(tbl_WohnsitzSO[Ort_Wohnsitz],'Sammel-RG Wohnsitz'!$A30,tbl_WohnsitzSO[KLV A])/60,"")</f>
        <v/>
      </c>
      <c r="F30" s="213" t="str">
        <f>IF(A30&lt;&gt;"",SUMIF(tbl_WohnsitzSO[Ort_Wohnsitz],'Sammel-RG Wohnsitz'!$A30,tbl_WohnsitzSO[KLV B])/60,"")</f>
        <v/>
      </c>
      <c r="G30" s="213" t="str">
        <f>IF(A30&lt;&gt;"",SUMIF(tbl_WohnsitzSO[Ort_Wohnsitz],'Sammel-RG Wohnsitz'!$A30,tbl_WohnsitzSO[KLV C])/60,"")</f>
        <v/>
      </c>
      <c r="H30" s="139">
        <f t="shared" si="0"/>
        <v>0</v>
      </c>
      <c r="I30" s="139" t="str">
        <f>IF(A30&lt;&gt;"",SUMIF(tbl_WohnsitzSO[Ort_Wohnsitz],'Sammel-RG Wohnsitz'!$A30,tbl_WohnsitzSO[KLV A Kosten]),"")</f>
        <v/>
      </c>
      <c r="J30" s="139" t="str">
        <f>IF(A30&lt;&gt;"",SUMIF(tbl_WohnsitzSO[Ort_Wohnsitz],'Sammel-RG Wohnsitz'!$A30,tbl_WohnsitzSO[KLV B Kosten]),"")</f>
        <v/>
      </c>
      <c r="K30" s="139" t="str">
        <f>IF(A30&lt;&gt;"",SUMIF(tbl_WohnsitzSO[Ort_Wohnsitz],'Sammel-RG Wohnsitz'!$A30,tbl_WohnsitzSO[KLV C Kosten]),"")</f>
        <v/>
      </c>
      <c r="L30" s="220">
        <f t="shared" si="1"/>
        <v>0</v>
      </c>
      <c r="M30" s="223" t="str">
        <f>IF(A30&lt;&gt;"",SUMIF(tbl_WohnsitzSO[Ort_Wohnsitz],'Sammel-RG Wohnsitz'!$A30,tbl_WohnsitzSO[Mittel und Gegenstände (max. MiGeL) Einstandspreise]),"")</f>
        <v/>
      </c>
    </row>
    <row r="32" spans="1:13" ht="15.75" thickBot="1" x14ac:dyDescent="0.3"/>
    <row r="33" spans="1:14" ht="19.5" thickBot="1" x14ac:dyDescent="0.35">
      <c r="A33" s="224" t="s">
        <v>183</v>
      </c>
      <c r="B33" s="225"/>
      <c r="C33" s="225"/>
      <c r="D33" s="225"/>
      <c r="E33" s="225"/>
      <c r="F33" s="225"/>
      <c r="G33" s="225"/>
      <c r="H33" s="225"/>
      <c r="I33" s="225"/>
      <c r="J33" s="225"/>
      <c r="K33" s="290">
        <f>ROUND(SUM(L16:L30)*20,)/20</f>
        <v>0</v>
      </c>
      <c r="L33" s="291"/>
    </row>
    <row r="34" spans="1:14" ht="19.5" thickBot="1" x14ac:dyDescent="0.35">
      <c r="A34" s="140" t="s">
        <v>290</v>
      </c>
      <c r="B34" s="141"/>
      <c r="C34" s="141"/>
      <c r="D34" s="141"/>
      <c r="E34" s="141"/>
      <c r="F34" s="141"/>
      <c r="G34" s="141"/>
      <c r="H34" s="141"/>
      <c r="I34" s="141"/>
      <c r="J34" s="141"/>
      <c r="K34" s="281">
        <f>ROUND(SUM(M16:M30)*20,)/20</f>
        <v>0</v>
      </c>
      <c r="L34" s="281"/>
      <c r="M34" s="282"/>
    </row>
    <row r="37" spans="1:14" ht="20.25" x14ac:dyDescent="0.3">
      <c r="A37" s="84" t="s">
        <v>184</v>
      </c>
      <c r="B37" s="84"/>
      <c r="C37" s="84"/>
      <c r="D37" s="84"/>
      <c r="E37" s="84"/>
      <c r="F37" s="84"/>
      <c r="G37" s="84"/>
      <c r="H37" s="84"/>
      <c r="I37" s="84"/>
      <c r="J37" s="84"/>
      <c r="K37" s="84"/>
      <c r="L37" s="84"/>
    </row>
    <row r="38" spans="1:14" ht="20.25" x14ac:dyDescent="0.3">
      <c r="A38" s="278" t="s">
        <v>187</v>
      </c>
      <c r="B38" s="278"/>
      <c r="C38" s="278"/>
      <c r="D38" s="278"/>
      <c r="E38" s="278"/>
      <c r="F38" s="278"/>
      <c r="G38" s="278"/>
      <c r="H38" s="278"/>
      <c r="I38" s="278"/>
      <c r="J38" s="278"/>
      <c r="K38" s="278"/>
      <c r="L38" s="278"/>
    </row>
    <row r="39" spans="1:14" ht="20.25" x14ac:dyDescent="0.3">
      <c r="A39" s="278" t="s">
        <v>188</v>
      </c>
      <c r="B39" s="278"/>
      <c r="C39" s="278"/>
      <c r="D39" s="278"/>
      <c r="E39" s="278"/>
      <c r="F39" s="278"/>
      <c r="G39" s="278"/>
      <c r="H39" s="278"/>
      <c r="I39" s="278"/>
      <c r="J39" s="278"/>
      <c r="K39" s="278"/>
      <c r="L39" s="278"/>
    </row>
    <row r="40" spans="1:14" ht="20.25" x14ac:dyDescent="0.3">
      <c r="A40" s="278" t="s">
        <v>189</v>
      </c>
      <c r="B40" s="278"/>
      <c r="C40" s="278"/>
      <c r="D40" s="278"/>
      <c r="E40" s="278"/>
      <c r="F40" s="278"/>
      <c r="G40" s="278"/>
      <c r="H40" s="278"/>
      <c r="I40" s="278"/>
      <c r="J40" s="278"/>
      <c r="K40" s="278"/>
      <c r="L40" s="278"/>
      <c r="N40" s="92"/>
    </row>
    <row r="41" spans="1:14" ht="20.25" x14ac:dyDescent="0.3">
      <c r="A41" s="278" t="s">
        <v>190</v>
      </c>
      <c r="B41" s="278"/>
      <c r="C41" s="278"/>
      <c r="D41" s="278"/>
      <c r="E41" s="278"/>
      <c r="F41" s="278"/>
      <c r="G41" s="278"/>
      <c r="H41" s="278"/>
      <c r="I41" s="278"/>
      <c r="J41" s="278"/>
      <c r="K41" s="278"/>
      <c r="L41" s="278"/>
      <c r="N41" s="92"/>
    </row>
    <row r="42" spans="1:14" ht="20.25" x14ac:dyDescent="0.3">
      <c r="A42" s="278" t="s">
        <v>291</v>
      </c>
      <c r="B42" s="278"/>
      <c r="C42" s="278"/>
      <c r="D42" s="278"/>
      <c r="E42" s="278"/>
      <c r="F42" s="278"/>
      <c r="G42" s="278"/>
      <c r="H42" s="278"/>
      <c r="I42" s="278"/>
      <c r="J42" s="278"/>
      <c r="K42" s="278"/>
      <c r="L42" s="278"/>
      <c r="N42" s="92"/>
    </row>
    <row r="43" spans="1:14" ht="20.25" x14ac:dyDescent="0.3">
      <c r="A43" s="142"/>
      <c r="B43" s="142"/>
      <c r="C43" s="142"/>
      <c r="D43" s="142"/>
      <c r="E43" s="142"/>
      <c r="F43" s="142"/>
      <c r="G43" s="142"/>
      <c r="H43" s="142"/>
      <c r="I43" s="142"/>
      <c r="J43" s="142"/>
      <c r="K43" s="142"/>
      <c r="L43" s="142"/>
      <c r="N43" s="92"/>
    </row>
    <row r="44" spans="1:14" ht="44.25" customHeight="1" x14ac:dyDescent="0.25">
      <c r="A44" s="292" t="s">
        <v>292</v>
      </c>
      <c r="B44" s="292"/>
      <c r="C44" s="292"/>
      <c r="D44" s="292"/>
      <c r="E44" s="292"/>
      <c r="F44" s="292"/>
      <c r="G44" s="292"/>
      <c r="H44" s="292"/>
      <c r="I44" s="292"/>
      <c r="J44" s="292"/>
      <c r="K44" s="292"/>
      <c r="L44" s="292"/>
      <c r="M44" s="292"/>
    </row>
    <row r="45" spans="1:14" ht="20.25" customHeight="1" x14ac:dyDescent="0.25"/>
    <row r="46" spans="1:14" ht="20.25" x14ac:dyDescent="0.25">
      <c r="A46" s="286" t="s">
        <v>185</v>
      </c>
      <c r="B46" s="286"/>
      <c r="C46" s="286"/>
      <c r="D46" s="286"/>
      <c r="E46" s="286"/>
      <c r="F46" s="286"/>
      <c r="G46" s="286"/>
      <c r="H46" s="286"/>
      <c r="I46" s="286"/>
      <c r="J46" s="286"/>
      <c r="K46" s="286"/>
      <c r="L46" s="286"/>
    </row>
    <row r="47" spans="1:14" ht="20.25" x14ac:dyDescent="0.3">
      <c r="A47" s="85"/>
      <c r="B47" s="86"/>
      <c r="C47" s="86"/>
      <c r="D47" s="86"/>
      <c r="E47" s="85"/>
      <c r="F47" s="142"/>
      <c r="G47" s="142"/>
      <c r="H47" s="142"/>
      <c r="I47" s="142"/>
      <c r="J47" s="142"/>
      <c r="K47" s="142"/>
      <c r="L47" s="142"/>
    </row>
    <row r="48" spans="1:14" ht="20.25" x14ac:dyDescent="0.3">
      <c r="A48" s="85" t="s">
        <v>186</v>
      </c>
      <c r="B48" s="86"/>
      <c r="C48" s="86"/>
      <c r="D48" s="86"/>
      <c r="E48" s="85"/>
      <c r="F48" s="142"/>
      <c r="G48" s="142"/>
      <c r="H48" s="142"/>
      <c r="I48" s="142"/>
      <c r="J48" s="142"/>
      <c r="K48" s="142"/>
      <c r="L48" s="142"/>
    </row>
    <row r="49" spans="1:12" ht="20.25" x14ac:dyDescent="0.3">
      <c r="A49" s="85"/>
      <c r="B49" s="86"/>
      <c r="C49" s="86"/>
      <c r="D49" s="86"/>
      <c r="E49" s="85"/>
      <c r="F49" s="142"/>
      <c r="G49" s="142"/>
      <c r="H49" s="142"/>
      <c r="I49" s="142"/>
      <c r="J49" s="142"/>
      <c r="K49" s="142"/>
      <c r="L49" s="142"/>
    </row>
    <row r="50" spans="1:12" ht="20.25" x14ac:dyDescent="0.3">
      <c r="A50" s="85"/>
      <c r="B50" s="86"/>
      <c r="C50" s="87"/>
      <c r="D50" s="87"/>
      <c r="E50" s="85"/>
      <c r="F50" s="142"/>
      <c r="G50" s="142"/>
      <c r="H50" s="142"/>
      <c r="I50" s="142"/>
      <c r="J50" s="142"/>
      <c r="K50" s="142"/>
      <c r="L50" s="142"/>
    </row>
    <row r="51" spans="1:12" ht="20.25" x14ac:dyDescent="0.3">
      <c r="A51" s="88"/>
      <c r="B51" s="87"/>
      <c r="C51" s="87"/>
      <c r="D51" s="87"/>
      <c r="E51" s="88"/>
      <c r="F51" s="142"/>
      <c r="G51" s="142"/>
      <c r="H51" s="142"/>
      <c r="I51" s="142"/>
      <c r="J51" s="142"/>
      <c r="K51" s="142"/>
      <c r="L51" s="142"/>
    </row>
    <row r="52" spans="1:12" ht="20.25" x14ac:dyDescent="0.3">
      <c r="A52" s="143"/>
      <c r="B52" s="143"/>
      <c r="C52" s="143"/>
      <c r="D52" s="143"/>
      <c r="E52" s="143"/>
      <c r="F52" s="143"/>
      <c r="G52" s="143"/>
      <c r="H52" s="142"/>
      <c r="I52" s="142"/>
      <c r="J52" s="142"/>
      <c r="K52" s="142"/>
      <c r="L52" s="142"/>
    </row>
    <row r="59" spans="1:12" ht="20.25" x14ac:dyDescent="0.3">
      <c r="A59" s="85" t="s">
        <v>294</v>
      </c>
    </row>
  </sheetData>
  <mergeCells count="24">
    <mergeCell ref="A46:L46"/>
    <mergeCell ref="A12:B12"/>
    <mergeCell ref="E14:H14"/>
    <mergeCell ref="K33:L33"/>
    <mergeCell ref="F11:H11"/>
    <mergeCell ref="A38:L38"/>
    <mergeCell ref="A39:L39"/>
    <mergeCell ref="A42:L42"/>
    <mergeCell ref="A44:M4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s>
  <conditionalFormatting sqref="A16:A30">
    <cfRule type="expression" dxfId="56" priority="6">
      <formula>COUNTIF(Ort_KTSO,$A16)&lt;1</formula>
    </cfRule>
  </conditionalFormatting>
  <conditionalFormatting sqref="A22">
    <cfRule type="expression" dxfId="55" priority="5">
      <formula>COUNTIF(Ort_KTSO,$A22)&lt;1</formula>
    </cfRule>
  </conditionalFormatting>
  <conditionalFormatting sqref="A23">
    <cfRule type="expression" dxfId="54" priority="4">
      <formula>COUNTIF(Ort_KTSO,$A23)&lt;1</formula>
    </cfRule>
  </conditionalFormatting>
  <conditionalFormatting sqref="A24">
    <cfRule type="expression" dxfId="53" priority="3">
      <formula>COUNTIF(Ort_KTSO,$A24)&lt;1</formula>
    </cfRule>
  </conditionalFormatting>
  <conditionalFormatting sqref="A25">
    <cfRule type="expression" dxfId="52" priority="2">
      <formula>COUNTIF(Ort_KTSO,$A25)&lt;1</formula>
    </cfRule>
  </conditionalFormatting>
  <conditionalFormatting sqref="A26">
    <cfRule type="expression" dxfId="51"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7" sqref="D7:F7"/>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2" x14ac:dyDescent="0.2">
      <c r="B1" s="56"/>
    </row>
    <row r="3" spans="2:12" ht="14.25" x14ac:dyDescent="0.25">
      <c r="B3" s="64"/>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304"/>
      <c r="E7" s="304"/>
      <c r="F7" s="304"/>
      <c r="G7" s="13" t="s">
        <v>4</v>
      </c>
      <c r="H7" s="13"/>
      <c r="I7" s="304"/>
      <c r="J7" s="304"/>
      <c r="K7" s="304"/>
      <c r="L7" s="236"/>
    </row>
    <row r="8" spans="2:12" ht="15.75" x14ac:dyDescent="0.25">
      <c r="B8" s="13" t="s">
        <v>2</v>
      </c>
      <c r="C8" s="13"/>
      <c r="D8" s="304"/>
      <c r="E8" s="304"/>
      <c r="F8" s="304"/>
      <c r="G8" s="13" t="s">
        <v>5</v>
      </c>
      <c r="H8" s="13"/>
      <c r="I8" s="304"/>
      <c r="J8" s="304"/>
      <c r="K8" s="304"/>
      <c r="L8" s="236"/>
    </row>
    <row r="9" spans="2:12" ht="15.75" x14ac:dyDescent="0.25">
      <c r="B9" s="13" t="s">
        <v>3</v>
      </c>
      <c r="C9" s="13"/>
      <c r="D9" s="304"/>
      <c r="E9" s="304"/>
      <c r="F9" s="304"/>
      <c r="G9" s="13" t="s">
        <v>6</v>
      </c>
      <c r="H9" s="13"/>
      <c r="I9" s="304"/>
      <c r="J9" s="304"/>
      <c r="K9" s="304"/>
      <c r="L9" s="236"/>
    </row>
    <row r="10" spans="2:12" ht="15.75" x14ac:dyDescent="0.25">
      <c r="B10" s="13" t="s">
        <v>9</v>
      </c>
      <c r="C10" s="13"/>
      <c r="D10" s="304"/>
      <c r="E10" s="304"/>
      <c r="F10" s="304"/>
      <c r="G10" s="13" t="s">
        <v>7</v>
      </c>
      <c r="H10" s="13"/>
      <c r="I10" s="304"/>
      <c r="J10" s="304"/>
      <c r="K10" s="304"/>
      <c r="L10" s="236"/>
    </row>
    <row r="11" spans="2:12" ht="15.75" x14ac:dyDescent="0.25">
      <c r="B11" s="13" t="s">
        <v>10</v>
      </c>
      <c r="C11" s="13"/>
      <c r="D11" s="304"/>
      <c r="E11" s="304"/>
      <c r="F11" s="304"/>
      <c r="G11" s="13" t="s">
        <v>147</v>
      </c>
      <c r="H11" s="13"/>
      <c r="I11" s="304"/>
      <c r="J11" s="304"/>
      <c r="K11" s="304"/>
      <c r="L11" s="304"/>
    </row>
    <row r="12" spans="2:12" ht="15.75" x14ac:dyDescent="0.25">
      <c r="F12" s="13"/>
      <c r="G12" s="13" t="s">
        <v>156</v>
      </c>
      <c r="H12" s="13"/>
      <c r="I12" s="276" t="s">
        <v>197</v>
      </c>
      <c r="J12" s="276"/>
      <c r="K12" s="276"/>
      <c r="L12" s="276"/>
    </row>
    <row r="13" spans="2:12" ht="15.75" customHeight="1" x14ac:dyDescent="0.25">
      <c r="B13" s="303" t="s">
        <v>161</v>
      </c>
      <c r="C13" s="303"/>
      <c r="D13" s="303"/>
      <c r="F13" s="13"/>
      <c r="H13" s="79"/>
      <c r="I13" s="79"/>
    </row>
    <row r="14" spans="2:12" ht="15.75" x14ac:dyDescent="0.25">
      <c r="B14" s="303"/>
      <c r="C14" s="303"/>
      <c r="D14" s="303"/>
      <c r="E14" s="123" t="s">
        <v>162</v>
      </c>
      <c r="F14" s="59"/>
      <c r="G14" s="79"/>
      <c r="H14" s="79"/>
      <c r="I14" s="79"/>
    </row>
    <row r="17" spans="2:13" ht="15.75" x14ac:dyDescent="0.25">
      <c r="B17" s="44" t="s">
        <v>142</v>
      </c>
      <c r="C17" s="45"/>
      <c r="D17" s="45"/>
      <c r="E17" s="46"/>
      <c r="F17" s="46"/>
      <c r="G17" s="47"/>
      <c r="H17" s="47"/>
      <c r="I17" s="14"/>
      <c r="J17" s="14"/>
      <c r="K17" s="14"/>
      <c r="L17" s="14"/>
      <c r="M17" s="14"/>
    </row>
    <row r="18" spans="2:13" ht="15.75" x14ac:dyDescent="0.2">
      <c r="B18" s="293" t="s">
        <v>2</v>
      </c>
      <c r="C18" s="295"/>
      <c r="D18" s="293" t="s">
        <v>3</v>
      </c>
      <c r="E18" s="293"/>
      <c r="F18" s="72" t="s">
        <v>153</v>
      </c>
      <c r="G18" s="301" t="s">
        <v>141</v>
      </c>
      <c r="H18" s="302"/>
      <c r="I18" s="72" t="s">
        <v>5</v>
      </c>
      <c r="J18" s="293" t="s">
        <v>13</v>
      </c>
      <c r="K18" s="293"/>
      <c r="L18" s="48" t="s">
        <v>140</v>
      </c>
      <c r="M18" s="49"/>
    </row>
    <row r="19" spans="2:13" ht="15.75" x14ac:dyDescent="0.2">
      <c r="B19" s="297"/>
      <c r="C19" s="297"/>
      <c r="D19" s="297"/>
      <c r="E19" s="297"/>
      <c r="F19" s="170"/>
      <c r="G19" s="297"/>
      <c r="H19" s="297"/>
      <c r="I19" s="171"/>
      <c r="J19" s="297"/>
      <c r="K19" s="297"/>
      <c r="L19" s="305"/>
      <c r="M19" s="306"/>
    </row>
    <row r="20" spans="2:13" ht="15.75" x14ac:dyDescent="0.25">
      <c r="B20" s="13"/>
      <c r="C20" s="26"/>
      <c r="D20" s="26"/>
      <c r="E20" s="26"/>
      <c r="F20" s="57"/>
      <c r="G20" s="26"/>
      <c r="H20" s="26"/>
      <c r="I20" s="26"/>
      <c r="J20" s="26"/>
      <c r="K20" s="26"/>
      <c r="L20" s="58"/>
      <c r="M20" s="58"/>
    </row>
    <row r="21" spans="2:13" ht="15.75" x14ac:dyDescent="0.25">
      <c r="B21" s="61" t="s">
        <v>154</v>
      </c>
      <c r="C21" s="51"/>
      <c r="D21" s="52"/>
      <c r="E21" s="52"/>
      <c r="F21" s="53"/>
      <c r="G21" s="300"/>
      <c r="H21" s="300"/>
      <c r="I21" s="26"/>
      <c r="J21" s="26"/>
      <c r="K21" s="52"/>
      <c r="L21" s="52"/>
      <c r="M21" s="13"/>
    </row>
    <row r="22" spans="2:13" ht="15.75" x14ac:dyDescent="0.25">
      <c r="B22" s="293" t="s">
        <v>2</v>
      </c>
      <c r="C22" s="295"/>
      <c r="D22" s="293" t="s">
        <v>3</v>
      </c>
      <c r="E22" s="293"/>
      <c r="F22" s="72"/>
      <c r="G22" s="301" t="s">
        <v>141</v>
      </c>
      <c r="H22" s="302"/>
      <c r="I22" s="72" t="s">
        <v>5</v>
      </c>
      <c r="J22" s="293" t="s">
        <v>6</v>
      </c>
      <c r="K22" s="293"/>
      <c r="L22" s="13"/>
      <c r="M22" s="13"/>
    </row>
    <row r="23" spans="2:13" ht="15.75" x14ac:dyDescent="0.25">
      <c r="B23" s="297"/>
      <c r="C23" s="297"/>
      <c r="D23" s="297"/>
      <c r="E23" s="297"/>
      <c r="F23" s="170"/>
      <c r="G23" s="297"/>
      <c r="H23" s="297"/>
      <c r="I23" s="171"/>
      <c r="J23" s="297"/>
      <c r="K23" s="297"/>
      <c r="L23" s="13"/>
      <c r="M23" s="13"/>
    </row>
    <row r="24" spans="2:13" ht="15.75" x14ac:dyDescent="0.25">
      <c r="B24" s="13"/>
      <c r="C24" s="13"/>
      <c r="D24" s="13"/>
      <c r="E24" s="13"/>
      <c r="F24" s="13"/>
      <c r="G24" s="13"/>
      <c r="H24" s="13"/>
      <c r="I24" s="13"/>
      <c r="J24" s="13"/>
      <c r="K24" s="13"/>
      <c r="L24" s="13"/>
      <c r="M24" s="13"/>
    </row>
    <row r="25" spans="2:13" ht="15.75" x14ac:dyDescent="0.25">
      <c r="B25" s="62" t="s">
        <v>172</v>
      </c>
      <c r="C25" s="63"/>
      <c r="D25" s="13"/>
      <c r="E25" s="13"/>
      <c r="F25" s="13"/>
      <c r="G25" s="13"/>
      <c r="H25" s="13"/>
      <c r="I25" s="10" t="s">
        <v>235</v>
      </c>
      <c r="J25" s="13"/>
      <c r="K25" s="13"/>
      <c r="L25" s="13"/>
      <c r="M25" s="13"/>
    </row>
    <row r="26" spans="2:13" ht="15.75" x14ac:dyDescent="0.25">
      <c r="B26" s="293" t="s">
        <v>173</v>
      </c>
      <c r="C26" s="295"/>
      <c r="D26" s="293" t="s">
        <v>174</v>
      </c>
      <c r="E26" s="293"/>
      <c r="F26" s="293" t="s">
        <v>175</v>
      </c>
      <c r="G26" s="293" t="s">
        <v>175</v>
      </c>
      <c r="H26" s="13"/>
      <c r="I26" s="211" t="s">
        <v>199</v>
      </c>
      <c r="J26" s="211" t="s">
        <v>200</v>
      </c>
      <c r="K26" s="211" t="s">
        <v>201</v>
      </c>
      <c r="M26" s="13"/>
    </row>
    <row r="27" spans="2:13" ht="15.75" x14ac:dyDescent="0.25">
      <c r="B27" s="296"/>
      <c r="C27" s="297"/>
      <c r="D27" s="296"/>
      <c r="E27" s="297"/>
      <c r="F27" s="298" t="str">
        <f>IF(OR(B27="",D27=""),"--",IFERROR((D27-B27+1),"--"))</f>
        <v>--</v>
      </c>
      <c r="G27" s="299"/>
      <c r="H27"/>
      <c r="I27" s="212"/>
      <c r="J27" s="194"/>
      <c r="K27" s="194"/>
      <c r="M27"/>
    </row>
    <row r="29" spans="2:13" ht="72.75" customHeight="1" x14ac:dyDescent="0.25">
      <c r="B29" s="294" t="s">
        <v>176</v>
      </c>
      <c r="C29" s="294"/>
      <c r="D29" s="294"/>
      <c r="E29" s="294"/>
      <c r="F29" s="294"/>
      <c r="G29" s="294"/>
      <c r="H29" s="294"/>
      <c r="I29" s="294"/>
      <c r="J29" s="294"/>
      <c r="K29" s="294"/>
      <c r="L29" s="294"/>
      <c r="M29" s="294"/>
    </row>
    <row r="32" spans="2:13" ht="20.25" x14ac:dyDescent="0.3">
      <c r="B32" s="85" t="s">
        <v>186</v>
      </c>
    </row>
    <row r="33" spans="2:9" ht="20.25" x14ac:dyDescent="0.3">
      <c r="B33" s="85"/>
    </row>
    <row r="34" spans="2:9" ht="20.25" x14ac:dyDescent="0.3">
      <c r="B34" s="85"/>
    </row>
    <row r="35" spans="2:9" ht="20.25" x14ac:dyDescent="0.3">
      <c r="B35" s="88"/>
    </row>
    <row r="36" spans="2:9" ht="20.25" x14ac:dyDescent="0.3">
      <c r="B36" s="143"/>
      <c r="C36" s="146"/>
      <c r="D36" s="146"/>
      <c r="E36" s="146"/>
      <c r="F36" s="146"/>
      <c r="G36" s="146"/>
      <c r="H36" s="146"/>
      <c r="I36" s="146"/>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0:K10"/>
    <mergeCell ref="I11:L11"/>
    <mergeCell ref="D7:F7"/>
    <mergeCell ref="D8:F8"/>
    <mergeCell ref="D9:F9"/>
    <mergeCell ref="I7:K7"/>
    <mergeCell ref="I8:K8"/>
    <mergeCell ref="I9:K9"/>
    <mergeCell ref="G21:H21"/>
    <mergeCell ref="B22:C22"/>
    <mergeCell ref="D22:E22"/>
    <mergeCell ref="G22:H22"/>
    <mergeCell ref="B13:D14"/>
    <mergeCell ref="B18:C18"/>
    <mergeCell ref="D18:E18"/>
    <mergeCell ref="G18:H18"/>
    <mergeCell ref="B19:C19"/>
    <mergeCell ref="D19:E19"/>
    <mergeCell ref="G19:H19"/>
    <mergeCell ref="J22:K22"/>
    <mergeCell ref="B29:M29"/>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tabSelected="1" zoomScaleNormal="100" zoomScaleSheetLayoutView="100" zoomScalePageLayoutView="55" workbookViewId="0">
      <selection activeCell="C4" sqref="C4:D4"/>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3">
      <c r="A1" s="65" t="s">
        <v>304</v>
      </c>
      <c r="B1" s="18"/>
      <c r="C1" s="19"/>
      <c r="D1" s="19"/>
      <c r="E1" s="19"/>
      <c r="F1" s="19"/>
      <c r="G1" s="66"/>
      <c r="H1" s="246"/>
      <c r="I1" s="247">
        <f>Wohnsitz!H1</f>
        <v>2020</v>
      </c>
      <c r="K1" s="10" t="s">
        <v>145</v>
      </c>
    </row>
    <row r="2" spans="1:30" ht="20.25" customHeight="1" x14ac:dyDescent="0.25">
      <c r="K2" s="13" t="s">
        <v>199</v>
      </c>
      <c r="M2" s="13" t="s">
        <v>144</v>
      </c>
      <c r="AA2" s="1" t="s">
        <v>130</v>
      </c>
      <c r="AB2" s="1">
        <v>13.98</v>
      </c>
      <c r="AC2" s="1">
        <v>12.42</v>
      </c>
      <c r="AD2" s="1">
        <v>11.52</v>
      </c>
    </row>
    <row r="3" spans="1:30" ht="21" thickBot="1" x14ac:dyDescent="0.35">
      <c r="A3" s="11" t="s">
        <v>0</v>
      </c>
      <c r="C3" s="12"/>
      <c r="D3" s="12"/>
      <c r="E3" s="12"/>
      <c r="K3" s="13" t="s">
        <v>200</v>
      </c>
      <c r="M3" s="13" t="s">
        <v>146</v>
      </c>
      <c r="AA3" s="1" t="s">
        <v>131</v>
      </c>
      <c r="AB3" s="8">
        <f>AB2/60*5</f>
        <v>1.165</v>
      </c>
      <c r="AC3" s="8">
        <f>AC2/60*5</f>
        <v>1.0349999999999999</v>
      </c>
      <c r="AD3" s="8">
        <f>AD2/60*5</f>
        <v>0.96</v>
      </c>
    </row>
    <row r="4" spans="1:30" ht="16.5" thickBot="1" x14ac:dyDescent="0.3">
      <c r="A4" s="13" t="s">
        <v>1</v>
      </c>
      <c r="C4" s="276"/>
      <c r="D4" s="276"/>
      <c r="E4" s="13" t="s">
        <v>4</v>
      </c>
      <c r="F4" s="276"/>
      <c r="G4" s="276"/>
      <c r="H4" s="276"/>
      <c r="I4" s="13"/>
      <c r="J4" s="13"/>
      <c r="K4" s="13" t="s">
        <v>201</v>
      </c>
      <c r="M4" s="13" t="s">
        <v>139</v>
      </c>
      <c r="S4" s="307" t="s">
        <v>134</v>
      </c>
      <c r="T4" s="308"/>
      <c r="U4" s="309"/>
    </row>
    <row r="5" spans="1:30" ht="16.5" thickBot="1" x14ac:dyDescent="0.3">
      <c r="A5" s="13" t="s">
        <v>2</v>
      </c>
      <c r="C5" s="276"/>
      <c r="D5" s="276"/>
      <c r="E5" s="13" t="s">
        <v>5</v>
      </c>
      <c r="F5" s="276"/>
      <c r="G5" s="276"/>
      <c r="H5" s="276"/>
      <c r="I5" s="13"/>
      <c r="J5" s="13"/>
      <c r="K5" s="14" t="s">
        <v>148</v>
      </c>
      <c r="M5" s="14" t="s">
        <v>149</v>
      </c>
      <c r="S5" s="20" t="s">
        <v>150</v>
      </c>
      <c r="T5" s="22" t="s">
        <v>151</v>
      </c>
      <c r="U5" s="21" t="s">
        <v>152</v>
      </c>
    </row>
    <row r="6" spans="1:30" ht="16.5" thickBot="1" x14ac:dyDescent="0.3">
      <c r="A6" s="13" t="s">
        <v>3</v>
      </c>
      <c r="C6" s="276"/>
      <c r="D6" s="276"/>
      <c r="E6" s="13" t="s">
        <v>6</v>
      </c>
      <c r="F6" s="276"/>
      <c r="G6" s="276"/>
      <c r="H6" s="276"/>
      <c r="I6" s="13"/>
      <c r="J6" s="13"/>
      <c r="K6" s="14" t="s">
        <v>296</v>
      </c>
      <c r="M6" s="14" t="s">
        <v>297</v>
      </c>
      <c r="S6" s="23">
        <v>76.900000000000006</v>
      </c>
      <c r="T6" s="24">
        <v>63</v>
      </c>
      <c r="U6" s="25">
        <v>52.6</v>
      </c>
    </row>
    <row r="7" spans="1:30" ht="16.5" thickBot="1" x14ac:dyDescent="0.3">
      <c r="A7" s="13" t="s">
        <v>9</v>
      </c>
      <c r="C7" s="276"/>
      <c r="D7" s="276"/>
      <c r="E7" s="13" t="s">
        <v>7</v>
      </c>
      <c r="F7" s="276"/>
      <c r="G7" s="276"/>
      <c r="H7" s="276"/>
      <c r="I7" s="13"/>
      <c r="J7" s="13"/>
      <c r="N7" s="9"/>
      <c r="O7" s="9"/>
      <c r="P7" s="9"/>
      <c r="Q7" s="9"/>
      <c r="R7" s="9"/>
      <c r="S7" s="9"/>
      <c r="T7" s="9"/>
      <c r="U7" s="9"/>
      <c r="V7" s="9"/>
      <c r="W7" s="9"/>
    </row>
    <row r="8" spans="1:30" ht="15.75" customHeight="1" thickBot="1" x14ac:dyDescent="0.3">
      <c r="A8" s="13" t="s">
        <v>10</v>
      </c>
      <c r="C8" s="276"/>
      <c r="D8" s="276"/>
      <c r="E8" s="13" t="s">
        <v>147</v>
      </c>
      <c r="F8" s="276"/>
      <c r="G8" s="276"/>
      <c r="H8" s="276"/>
      <c r="P8" s="310" t="s">
        <v>133</v>
      </c>
      <c r="Q8" s="311"/>
      <c r="R8" s="311"/>
      <c r="S8" s="311"/>
      <c r="T8" s="311"/>
      <c r="U8" s="311"/>
      <c r="V8" s="311"/>
      <c r="W8" s="311"/>
      <c r="X8" s="311"/>
      <c r="Y8" s="312"/>
    </row>
    <row r="9" spans="1:30" ht="15" customHeight="1" x14ac:dyDescent="0.25">
      <c r="E9" s="13" t="s">
        <v>8</v>
      </c>
      <c r="F9" s="276"/>
      <c r="G9" s="276"/>
      <c r="H9" s="276"/>
      <c r="L9" s="313" t="s">
        <v>138</v>
      </c>
      <c r="M9" s="314"/>
      <c r="N9" s="314"/>
      <c r="O9" s="315"/>
      <c r="P9" s="319" t="s">
        <v>213</v>
      </c>
      <c r="Q9" s="320"/>
      <c r="R9" s="321"/>
      <c r="S9" s="325" t="s">
        <v>214</v>
      </c>
      <c r="T9" s="326"/>
      <c r="U9" s="326"/>
      <c r="V9" s="231"/>
      <c r="W9" s="71"/>
      <c r="X9" s="180"/>
      <c r="Y9" s="180"/>
    </row>
    <row r="10" spans="1:30" ht="32.25" customHeight="1" thickBot="1" x14ac:dyDescent="0.25">
      <c r="A10" s="27" t="s">
        <v>143</v>
      </c>
      <c r="B10" s="28"/>
      <c r="C10" s="239"/>
      <c r="L10" s="316"/>
      <c r="M10" s="317"/>
      <c r="N10" s="317"/>
      <c r="O10" s="318"/>
      <c r="P10" s="322"/>
      <c r="Q10" s="323"/>
      <c r="R10" s="324"/>
      <c r="S10" s="327"/>
      <c r="T10" s="328"/>
      <c r="U10" s="328"/>
      <c r="V10" s="232">
        <f>SUM(tbl_Ferienaufenthalt_SO[Total])</f>
        <v>0</v>
      </c>
      <c r="W10" s="69"/>
      <c r="X10" s="233">
        <f>SUM(tbl_Ferienaufenthalt_SO[Patienten Beteiligung])</f>
        <v>0</v>
      </c>
      <c r="Y10" s="233">
        <f>SUM(tbl_Ferienaufenthalt_SO[Mittel und Gegenstände (max. MiGeL) Einstandspreise])</f>
        <v>0</v>
      </c>
    </row>
    <row r="11" spans="1:30" ht="97.5" customHeight="1" thickBot="1" x14ac:dyDescent="0.25">
      <c r="A11" s="169" t="s">
        <v>181</v>
      </c>
      <c r="B11" s="164" t="s">
        <v>12</v>
      </c>
      <c r="C11" s="165" t="s">
        <v>2</v>
      </c>
      <c r="D11" s="165" t="s">
        <v>3</v>
      </c>
      <c r="E11" s="165" t="s">
        <v>14</v>
      </c>
      <c r="F11" s="165" t="s">
        <v>4</v>
      </c>
      <c r="G11" s="165" t="s">
        <v>5</v>
      </c>
      <c r="H11" s="166" t="s">
        <v>13</v>
      </c>
      <c r="I11" s="167" t="s">
        <v>177</v>
      </c>
      <c r="J11" s="229" t="s">
        <v>295</v>
      </c>
      <c r="K11" s="168" t="s">
        <v>194</v>
      </c>
      <c r="L11" s="150" t="s">
        <v>199</v>
      </c>
      <c r="M11" s="151" t="s">
        <v>200</v>
      </c>
      <c r="N11" s="152" t="s">
        <v>201</v>
      </c>
      <c r="O11" s="147" t="s">
        <v>193</v>
      </c>
      <c r="P11" s="158" t="s">
        <v>205</v>
      </c>
      <c r="Q11" s="159" t="s">
        <v>206</v>
      </c>
      <c r="R11" s="160" t="s">
        <v>207</v>
      </c>
      <c r="S11" s="153" t="s">
        <v>208</v>
      </c>
      <c r="T11" s="154" t="s">
        <v>209</v>
      </c>
      <c r="U11" s="155" t="s">
        <v>210</v>
      </c>
      <c r="V11" s="148" t="s">
        <v>11</v>
      </c>
      <c r="W11" s="70" t="s">
        <v>179</v>
      </c>
      <c r="X11" s="204" t="s">
        <v>198</v>
      </c>
      <c r="Y11" s="230" t="s">
        <v>288</v>
      </c>
    </row>
    <row r="12" spans="1:30" x14ac:dyDescent="0.2">
      <c r="A12" s="16">
        <v>1</v>
      </c>
      <c r="B12" s="196"/>
      <c r="C12" s="196"/>
      <c r="D12" s="197"/>
      <c r="E12" s="198"/>
      <c r="F12" s="197"/>
      <c r="G12" s="189"/>
      <c r="H12" s="196"/>
      <c r="I12" s="189"/>
      <c r="J12" s="196"/>
      <c r="K12" s="192"/>
      <c r="L12" s="192"/>
      <c r="M12" s="192"/>
      <c r="N12" s="192"/>
      <c r="O12" s="73">
        <f>SUM(L12:N12)</f>
        <v>0</v>
      </c>
      <c r="P12" s="74" t="str">
        <f>IFERROR(IF(IFERROR(MATCH($C$4&amp;$I12,Tabelle2[Codierung],0),0)&gt;0,VLOOKUP(I12,Tabelle1[[Ort]:[RK KLV C üD]],2,),VLOOKUP(I12,Tabelle1[[Ort]:[RK KLV C üD]],5)),"")</f>
        <v/>
      </c>
      <c r="Q12" s="74" t="str">
        <f>IFERROR(IF(IFERROR(MATCH($C$4&amp;$I12,Tabelle2[Codierung],0),0)&gt;0,VLOOKUP(I12,Tabelle1[[Ort]:[RK KLV C üD]],3,),VLOOKUP(I12,Tabelle1[[Ort]:[RK KLV C üD]],6)),"")</f>
        <v/>
      </c>
      <c r="R12" s="74" t="str">
        <f>IFERROR(IF(IFERROR(MATCH($C$4&amp;$I12,Tabelle2[Codierung],0),0)&gt;0,VLOOKUP(I12,Tabelle1[[Ort]:[RK KLV C üD]],4,),VLOOKUP(I12,Tabelle1[[Ort]:[RK KLV C üD]],7)),"")</f>
        <v/>
      </c>
      <c r="S12" s="75" t="str">
        <f>IFERROR(tbl_Ferienaufenthalt_SO[[#This Row],[KLV A]]*tbl_Ferienaufenthalt_SO[[#This Row],[KLV A Ansatz]]/60,"")</f>
        <v/>
      </c>
      <c r="T12" s="76" t="str">
        <f>IFERROR(tbl_Ferienaufenthalt_SO[[#This Row],[KLV B]]*tbl_Ferienaufenthalt_SO[[#This Row],[KLV B Ansatz]]/60,"")</f>
        <v/>
      </c>
      <c r="U12" s="76" t="str">
        <f>IFERROR(tbl_Ferienaufenthalt_SO[[#This Row],[KLV C]]*tbl_Ferienaufenthalt_SO[[#This Row],[KLV C Ansatz]]/60,"")</f>
        <v/>
      </c>
      <c r="V12" s="76">
        <f>IFERROR(SUM(S12:U12),"")</f>
        <v>0</v>
      </c>
      <c r="W12" s="81">
        <f>COUNTIF($H$12:$H12,H12)</f>
        <v>0</v>
      </c>
      <c r="X12" s="188"/>
      <c r="Y12" s="188"/>
    </row>
    <row r="13" spans="1:30" x14ac:dyDescent="0.2">
      <c r="A13" s="17">
        <v>2</v>
      </c>
      <c r="B13" s="189"/>
      <c r="C13" s="189"/>
      <c r="D13" s="190"/>
      <c r="E13" s="191"/>
      <c r="F13" s="190"/>
      <c r="G13" s="189"/>
      <c r="H13" s="189"/>
      <c r="I13" s="189"/>
      <c r="J13" s="189"/>
      <c r="K13" s="189"/>
      <c r="L13" s="189"/>
      <c r="M13" s="189"/>
      <c r="N13" s="189"/>
      <c r="O13" s="15">
        <f t="shared" ref="O13:O61" si="0">SUM(L13:N13)</f>
        <v>0</v>
      </c>
      <c r="P13" s="77" t="str">
        <f>IFERROR(IF(IFERROR(MATCH($C$4&amp;$I13,Tabelle2[Codierung],0),0)&gt;0,VLOOKUP(I13,Tabelle1[[Ort]:[RK KLV C üD]],2,),VLOOKUP(I13,Tabelle1[[Ort]:[RK KLV C üD]],5)),"")</f>
        <v/>
      </c>
      <c r="Q13" s="77" t="str">
        <f>IFERROR(IF(IFERROR(MATCH($C$4&amp;$I13,Tabelle2[Codierung],0),0)&gt;0,VLOOKUP(I13,Tabelle1[[Ort]:[RK KLV C üD]],3,),VLOOKUP(I13,Tabelle1[[Ort]:[RK KLV C üD]],6)),"")</f>
        <v/>
      </c>
      <c r="R13" s="77" t="str">
        <f>IFERROR(IF(IFERROR(MATCH($C$4&amp;$I13,Tabelle2[Codierung],0),0)&gt;0,VLOOKUP(I13,Tabelle1[[Ort]:[RK KLV C üD]],4,),VLOOKUP(I13,Tabelle1[[Ort]:[RK KLV C üD]],7)),"")</f>
        <v/>
      </c>
      <c r="S13" s="78" t="str">
        <f>IFERROR(tbl_Ferienaufenthalt_SO[[#This Row],[KLV A]]*tbl_Ferienaufenthalt_SO[[#This Row],[KLV A Ansatz]]/60,"")</f>
        <v/>
      </c>
      <c r="T13" s="78" t="str">
        <f>IFERROR(tbl_Ferienaufenthalt_SO[[#This Row],[KLV B]]*tbl_Ferienaufenthalt_SO[[#This Row],[KLV B Ansatz]]/60,"")</f>
        <v/>
      </c>
      <c r="U13" s="78" t="str">
        <f>IFERROR(tbl_Ferienaufenthalt_SO[[#This Row],[KLV C]]*tbl_Ferienaufenthalt_SO[[#This Row],[KLV C Ansatz]]/60,"")</f>
        <v/>
      </c>
      <c r="V13" s="78">
        <f t="shared" ref="V13:V19" si="1">IFERROR(SUM(S13:U13),"")</f>
        <v>0</v>
      </c>
      <c r="W13" s="81">
        <f>COUNTIF($H$12:$H13,H13)</f>
        <v>0</v>
      </c>
      <c r="X13" s="189"/>
      <c r="Y13" s="189"/>
    </row>
    <row r="14" spans="1:30" x14ac:dyDescent="0.2">
      <c r="A14" s="17">
        <v>3</v>
      </c>
      <c r="B14" s="189"/>
      <c r="C14" s="189"/>
      <c r="D14" s="190"/>
      <c r="E14" s="191"/>
      <c r="F14" s="190"/>
      <c r="G14" s="189"/>
      <c r="H14" s="189"/>
      <c r="I14" s="189"/>
      <c r="J14" s="189"/>
      <c r="K14" s="189"/>
      <c r="L14" s="189"/>
      <c r="M14" s="189"/>
      <c r="N14" s="189"/>
      <c r="O14" s="15">
        <f t="shared" si="0"/>
        <v>0</v>
      </c>
      <c r="P14" s="77" t="str">
        <f>IFERROR(IF(IFERROR(MATCH($C$4&amp;$I14,Tabelle2[Codierung],0),0)&gt;0,VLOOKUP(I14,Tabelle1[[Ort]:[RK KLV C üD]],2,),VLOOKUP(I14,Tabelle1[[Ort]:[RK KLV C üD]],5)),"")</f>
        <v/>
      </c>
      <c r="Q14" s="77" t="str">
        <f>IFERROR(IF(IFERROR(MATCH($C$4&amp;$I14,Tabelle2[Codierung],0),0)&gt;0,VLOOKUP(I14,Tabelle1[[Ort]:[RK KLV C üD]],3,),VLOOKUP(I14,Tabelle1[[Ort]:[RK KLV C üD]],6)),"")</f>
        <v/>
      </c>
      <c r="R14" s="77" t="str">
        <f>IFERROR(IF(IFERROR(MATCH($C$4&amp;$I14,Tabelle2[Codierung],0),0)&gt;0,VLOOKUP(I14,Tabelle1[[Ort]:[RK KLV C üD]],4,),VLOOKUP(I14,Tabelle1[[Ort]:[RK KLV C üD]],7)),"")</f>
        <v/>
      </c>
      <c r="S14" s="78" t="str">
        <f>IFERROR(tbl_Ferienaufenthalt_SO[[#This Row],[KLV A]]*tbl_Ferienaufenthalt_SO[[#This Row],[KLV A Ansatz]]/60,"")</f>
        <v/>
      </c>
      <c r="T14" s="78" t="str">
        <f>IFERROR(tbl_Ferienaufenthalt_SO[[#This Row],[KLV B]]*tbl_Ferienaufenthalt_SO[[#This Row],[KLV B Ansatz]]/60,"")</f>
        <v/>
      </c>
      <c r="U14" s="78" t="str">
        <f>IFERROR(tbl_Ferienaufenthalt_SO[[#This Row],[KLV C]]*tbl_Ferienaufenthalt_SO[[#This Row],[KLV C Ansatz]]/60,"")</f>
        <v/>
      </c>
      <c r="V14" s="78">
        <f t="shared" si="1"/>
        <v>0</v>
      </c>
      <c r="W14" s="81">
        <f>COUNTIF($H$12:$H14,H14)</f>
        <v>0</v>
      </c>
      <c r="X14" s="189"/>
      <c r="Y14" s="189"/>
    </row>
    <row r="15" spans="1:30" x14ac:dyDescent="0.2">
      <c r="A15" s="17">
        <v>4</v>
      </c>
      <c r="B15" s="189"/>
      <c r="C15" s="189"/>
      <c r="D15" s="190"/>
      <c r="E15" s="191"/>
      <c r="F15" s="190"/>
      <c r="G15" s="189"/>
      <c r="H15" s="189"/>
      <c r="I15" s="189"/>
      <c r="J15" s="189"/>
      <c r="K15" s="189"/>
      <c r="L15" s="189"/>
      <c r="M15" s="189"/>
      <c r="N15" s="189"/>
      <c r="O15" s="15">
        <f t="shared" si="0"/>
        <v>0</v>
      </c>
      <c r="P15" s="77" t="str">
        <f>IFERROR(IF(IFERROR(MATCH($C$4&amp;$I15,Tabelle2[Codierung],0),0)&gt;0,VLOOKUP(I15,Tabelle1[[Ort]:[RK KLV C üD]],2,),VLOOKUP(I15,Tabelle1[[Ort]:[RK KLV C üD]],5)),"")</f>
        <v/>
      </c>
      <c r="Q15" s="77" t="str">
        <f>IFERROR(IF(IFERROR(MATCH($C$4&amp;$I15,Tabelle2[Codierung],0),0)&gt;0,VLOOKUP(I15,Tabelle1[[Ort]:[RK KLV C üD]],3,),VLOOKUP(I15,Tabelle1[[Ort]:[RK KLV C üD]],6)),"")</f>
        <v/>
      </c>
      <c r="R15" s="77" t="str">
        <f>IFERROR(IF(IFERROR(MATCH($C$4&amp;$I15,Tabelle2[Codierung],0),0)&gt;0,VLOOKUP(I15,Tabelle1[[Ort]:[RK KLV C üD]],4,),VLOOKUP(I15,Tabelle1[[Ort]:[RK KLV C üD]],7)),"")</f>
        <v/>
      </c>
      <c r="S15" s="78" t="str">
        <f>IFERROR(tbl_Ferienaufenthalt_SO[[#This Row],[KLV A]]*tbl_Ferienaufenthalt_SO[[#This Row],[KLV A Ansatz]]/60,"")</f>
        <v/>
      </c>
      <c r="T15" s="78" t="str">
        <f>IFERROR(tbl_Ferienaufenthalt_SO[[#This Row],[KLV B]]*tbl_Ferienaufenthalt_SO[[#This Row],[KLV B Ansatz]]/60,"")</f>
        <v/>
      </c>
      <c r="U15" s="78" t="str">
        <f>IFERROR(tbl_Ferienaufenthalt_SO[[#This Row],[KLV C]]*tbl_Ferienaufenthalt_SO[[#This Row],[KLV C Ansatz]]/60,"")</f>
        <v/>
      </c>
      <c r="V15" s="78">
        <f t="shared" si="1"/>
        <v>0</v>
      </c>
      <c r="W15" s="81">
        <f>COUNTIF($H$12:$H15,H15)</f>
        <v>0</v>
      </c>
      <c r="X15" s="189"/>
      <c r="Y15" s="189"/>
    </row>
    <row r="16" spans="1:30" x14ac:dyDescent="0.2">
      <c r="A16" s="17">
        <v>5</v>
      </c>
      <c r="B16" s="189"/>
      <c r="C16" s="189"/>
      <c r="D16" s="190"/>
      <c r="E16" s="191"/>
      <c r="F16" s="190"/>
      <c r="G16" s="189"/>
      <c r="H16" s="189"/>
      <c r="I16" s="189"/>
      <c r="J16" s="189"/>
      <c r="K16" s="189"/>
      <c r="L16" s="189"/>
      <c r="M16" s="189"/>
      <c r="N16" s="189"/>
      <c r="O16" s="15">
        <f t="shared" si="0"/>
        <v>0</v>
      </c>
      <c r="P16" s="77" t="str">
        <f>IFERROR(IF(IFERROR(MATCH($C$4&amp;$I16,Tabelle2[Codierung],0),0)&gt;0,VLOOKUP(I16,Tabelle1[[Ort]:[RK KLV C üD]],2,),VLOOKUP(I16,Tabelle1[[Ort]:[RK KLV C üD]],5)),"")</f>
        <v/>
      </c>
      <c r="Q16" s="77" t="str">
        <f>IFERROR(IF(IFERROR(MATCH($C$4&amp;$I16,Tabelle2[Codierung],0),0)&gt;0,VLOOKUP(I16,Tabelle1[[Ort]:[RK KLV C üD]],3,),VLOOKUP(I16,Tabelle1[[Ort]:[RK KLV C üD]],6)),"")</f>
        <v/>
      </c>
      <c r="R16" s="77" t="str">
        <f>IFERROR(IF(IFERROR(MATCH($C$4&amp;$I16,Tabelle2[Codierung],0),0)&gt;0,VLOOKUP(I16,Tabelle1[[Ort]:[RK KLV C üD]],4,),VLOOKUP(I16,Tabelle1[[Ort]:[RK KLV C üD]],7)),"")</f>
        <v/>
      </c>
      <c r="S16" s="78" t="str">
        <f>IFERROR(tbl_Ferienaufenthalt_SO[[#This Row],[KLV A]]*tbl_Ferienaufenthalt_SO[[#This Row],[KLV A Ansatz]]/60,"")</f>
        <v/>
      </c>
      <c r="T16" s="78" t="str">
        <f>IFERROR(tbl_Ferienaufenthalt_SO[[#This Row],[KLV B]]*tbl_Ferienaufenthalt_SO[[#This Row],[KLV B Ansatz]]/60,"")</f>
        <v/>
      </c>
      <c r="U16" s="78" t="str">
        <f>IFERROR(tbl_Ferienaufenthalt_SO[[#This Row],[KLV C]]*tbl_Ferienaufenthalt_SO[[#This Row],[KLV C Ansatz]]/60,"")</f>
        <v/>
      </c>
      <c r="V16" s="78">
        <f t="shared" si="1"/>
        <v>0</v>
      </c>
      <c r="W16" s="81">
        <f>COUNTIF($H$12:$H16,H16)</f>
        <v>0</v>
      </c>
      <c r="X16" s="189"/>
      <c r="Y16" s="189"/>
    </row>
    <row r="17" spans="1:25" x14ac:dyDescent="0.2">
      <c r="A17" s="17">
        <v>6</v>
      </c>
      <c r="B17" s="189"/>
      <c r="C17" s="189"/>
      <c r="D17" s="190"/>
      <c r="E17" s="191"/>
      <c r="F17" s="190"/>
      <c r="G17" s="189"/>
      <c r="H17" s="189"/>
      <c r="I17" s="189"/>
      <c r="J17" s="189"/>
      <c r="K17" s="189"/>
      <c r="L17" s="189"/>
      <c r="M17" s="189"/>
      <c r="N17" s="189"/>
      <c r="O17" s="15">
        <f t="shared" si="0"/>
        <v>0</v>
      </c>
      <c r="P17" s="77" t="str">
        <f>IFERROR(IF(IFERROR(MATCH($C$4&amp;$I17,Tabelle2[Codierung],0),0)&gt;0,VLOOKUP(I17,Tabelle1[[Ort]:[RK KLV C üD]],2,),VLOOKUP(I17,Tabelle1[[Ort]:[RK KLV C üD]],5)),"")</f>
        <v/>
      </c>
      <c r="Q17" s="77" t="str">
        <f>IFERROR(IF(IFERROR(MATCH($C$4&amp;$I17,Tabelle2[Codierung],0),0)&gt;0,VLOOKUP(I17,Tabelle1[[Ort]:[RK KLV C üD]],3,),VLOOKUP(I17,Tabelle1[[Ort]:[RK KLV C üD]],6)),"")</f>
        <v/>
      </c>
      <c r="R17" s="77" t="str">
        <f>IFERROR(IF(IFERROR(MATCH($C$4&amp;$I17,Tabelle2[Codierung],0),0)&gt;0,VLOOKUP(I17,Tabelle1[[Ort]:[RK KLV C üD]],4,),VLOOKUP(I17,Tabelle1[[Ort]:[RK KLV C üD]],7)),"")</f>
        <v/>
      </c>
      <c r="S17" s="78" t="str">
        <f>IFERROR(tbl_Ferienaufenthalt_SO[[#This Row],[KLV A]]*tbl_Ferienaufenthalt_SO[[#This Row],[KLV A Ansatz]]/60,"")</f>
        <v/>
      </c>
      <c r="T17" s="78" t="str">
        <f>IFERROR(tbl_Ferienaufenthalt_SO[[#This Row],[KLV B]]*tbl_Ferienaufenthalt_SO[[#This Row],[KLV B Ansatz]]/60,"")</f>
        <v/>
      </c>
      <c r="U17" s="78" t="str">
        <f>IFERROR(tbl_Ferienaufenthalt_SO[[#This Row],[KLV C]]*tbl_Ferienaufenthalt_SO[[#This Row],[KLV C Ansatz]]/60,"")</f>
        <v/>
      </c>
      <c r="V17" s="78">
        <f t="shared" si="1"/>
        <v>0</v>
      </c>
      <c r="W17" s="81">
        <f>COUNTIF($H$12:$H17,H17)</f>
        <v>0</v>
      </c>
      <c r="X17" s="189"/>
      <c r="Y17" s="189"/>
    </row>
    <row r="18" spans="1:25" x14ac:dyDescent="0.2">
      <c r="A18" s="17">
        <v>7</v>
      </c>
      <c r="B18" s="189"/>
      <c r="C18" s="189"/>
      <c r="D18" s="190"/>
      <c r="E18" s="191"/>
      <c r="F18" s="190"/>
      <c r="G18" s="189"/>
      <c r="H18" s="189"/>
      <c r="I18" s="189"/>
      <c r="J18" s="189"/>
      <c r="K18" s="189"/>
      <c r="L18" s="189"/>
      <c r="M18" s="189"/>
      <c r="N18" s="189"/>
      <c r="O18" s="15">
        <f t="shared" si="0"/>
        <v>0</v>
      </c>
      <c r="P18" s="77" t="str">
        <f>IFERROR(IF(IFERROR(MATCH($C$4&amp;$I18,Tabelle2[Codierung],0),0)&gt;0,VLOOKUP(I18,Tabelle1[[Ort]:[RK KLV C üD]],2,),VLOOKUP(I18,Tabelle1[[Ort]:[RK KLV C üD]],5)),"")</f>
        <v/>
      </c>
      <c r="Q18" s="77" t="str">
        <f>IFERROR(IF(IFERROR(MATCH($C$4&amp;$I18,Tabelle2[Codierung],0),0)&gt;0,VLOOKUP(I18,Tabelle1[[Ort]:[RK KLV C üD]],3,),VLOOKUP(I18,Tabelle1[[Ort]:[RK KLV C üD]],6)),"")</f>
        <v/>
      </c>
      <c r="R18" s="77" t="str">
        <f>IFERROR(IF(IFERROR(MATCH($C$4&amp;$I18,Tabelle2[Codierung],0),0)&gt;0,VLOOKUP(I18,Tabelle1[[Ort]:[RK KLV C üD]],4,),VLOOKUP(I18,Tabelle1[[Ort]:[RK KLV C üD]],7)),"")</f>
        <v/>
      </c>
      <c r="S18" s="78" t="str">
        <f>IFERROR(tbl_Ferienaufenthalt_SO[[#This Row],[KLV A]]*tbl_Ferienaufenthalt_SO[[#This Row],[KLV A Ansatz]]/60,"")</f>
        <v/>
      </c>
      <c r="T18" s="78" t="str">
        <f>IFERROR(tbl_Ferienaufenthalt_SO[[#This Row],[KLV B]]*tbl_Ferienaufenthalt_SO[[#This Row],[KLV B Ansatz]]/60,"")</f>
        <v/>
      </c>
      <c r="U18" s="78" t="str">
        <f>IFERROR(tbl_Ferienaufenthalt_SO[[#This Row],[KLV C]]*tbl_Ferienaufenthalt_SO[[#This Row],[KLV C Ansatz]]/60,"")</f>
        <v/>
      </c>
      <c r="V18" s="78">
        <f t="shared" si="1"/>
        <v>0</v>
      </c>
      <c r="W18" s="81">
        <f>COUNTIF($H$12:$H18,H18)</f>
        <v>0</v>
      </c>
      <c r="X18" s="189"/>
      <c r="Y18" s="189"/>
    </row>
    <row r="19" spans="1:25" x14ac:dyDescent="0.2">
      <c r="A19" s="17">
        <v>8</v>
      </c>
      <c r="B19" s="189"/>
      <c r="C19" s="189"/>
      <c r="D19" s="190"/>
      <c r="E19" s="191"/>
      <c r="F19" s="190"/>
      <c r="G19" s="189"/>
      <c r="H19" s="189"/>
      <c r="I19" s="189"/>
      <c r="J19" s="189"/>
      <c r="K19" s="189"/>
      <c r="L19" s="189"/>
      <c r="M19" s="189"/>
      <c r="N19" s="189"/>
      <c r="O19" s="15">
        <f t="shared" si="0"/>
        <v>0</v>
      </c>
      <c r="P19" s="77" t="str">
        <f>IFERROR(IF(IFERROR(MATCH($C$4&amp;$I19,Tabelle2[Codierung],0),0)&gt;0,VLOOKUP(I19,Tabelle1[[Ort]:[RK KLV C üD]],2,),VLOOKUP(I19,Tabelle1[[Ort]:[RK KLV C üD]],5)),"")</f>
        <v/>
      </c>
      <c r="Q19" s="77" t="str">
        <f>IFERROR(IF(IFERROR(MATCH($C$4&amp;$I19,Tabelle2[Codierung],0),0)&gt;0,VLOOKUP(I19,Tabelle1[[Ort]:[RK KLV C üD]],3,),VLOOKUP(I19,Tabelle1[[Ort]:[RK KLV C üD]],6)),"")</f>
        <v/>
      </c>
      <c r="R19" s="77" t="str">
        <f>IFERROR(IF(IFERROR(MATCH($C$4&amp;$I19,Tabelle2[Codierung],0),0)&gt;0,VLOOKUP(I19,Tabelle1[[Ort]:[RK KLV C üD]],4,),VLOOKUP(I19,Tabelle1[[Ort]:[RK KLV C üD]],7)),"")</f>
        <v/>
      </c>
      <c r="S19" s="78" t="str">
        <f>IFERROR(tbl_Ferienaufenthalt_SO[[#This Row],[KLV A]]*tbl_Ferienaufenthalt_SO[[#This Row],[KLV A Ansatz]]/60,"")</f>
        <v/>
      </c>
      <c r="T19" s="78" t="str">
        <f>IFERROR(tbl_Ferienaufenthalt_SO[[#This Row],[KLV B]]*tbl_Ferienaufenthalt_SO[[#This Row],[KLV B Ansatz]]/60,"")</f>
        <v/>
      </c>
      <c r="U19" s="78" t="str">
        <f>IFERROR(tbl_Ferienaufenthalt_SO[[#This Row],[KLV C]]*tbl_Ferienaufenthalt_SO[[#This Row],[KLV C Ansatz]]/60,"")</f>
        <v/>
      </c>
      <c r="V19" s="78">
        <f t="shared" si="1"/>
        <v>0</v>
      </c>
      <c r="W19" s="81">
        <f>COUNTIF($H$12:$H19,H19)</f>
        <v>0</v>
      </c>
      <c r="X19" s="189"/>
      <c r="Y19" s="189"/>
    </row>
    <row r="20" spans="1:25" x14ac:dyDescent="0.2">
      <c r="A20" s="17">
        <v>9</v>
      </c>
      <c r="B20" s="189"/>
      <c r="C20" s="189"/>
      <c r="D20" s="190"/>
      <c r="E20" s="191"/>
      <c r="F20" s="190"/>
      <c r="G20" s="189"/>
      <c r="H20" s="189"/>
      <c r="I20" s="189"/>
      <c r="J20" s="189"/>
      <c r="K20" s="189"/>
      <c r="L20" s="189"/>
      <c r="M20" s="189"/>
      <c r="N20" s="189"/>
      <c r="O20" s="15">
        <f t="shared" si="0"/>
        <v>0</v>
      </c>
      <c r="P20" s="77" t="str">
        <f>IFERROR(IF(IFERROR(MATCH($C$4&amp;$I20,Tabelle2[Codierung],0),0)&gt;0,VLOOKUP(I20,Tabelle1[[Ort]:[RK KLV C üD]],2,),VLOOKUP(I20,Tabelle1[[Ort]:[RK KLV C üD]],5)),"")</f>
        <v/>
      </c>
      <c r="Q20" s="77" t="str">
        <f>IFERROR(IF(IFERROR(MATCH($C$4&amp;$I20,Tabelle2[Codierung],0),0)&gt;0,VLOOKUP(I20,Tabelle1[[Ort]:[RK KLV C üD]],3,),VLOOKUP(I20,Tabelle1[[Ort]:[RK KLV C üD]],6)),"")</f>
        <v/>
      </c>
      <c r="R20" s="77" t="str">
        <f>IFERROR(IF(IFERROR(MATCH($C$4&amp;$I20,Tabelle2[Codierung],0),0)&gt;0,VLOOKUP(I20,Tabelle1[[Ort]:[RK KLV C üD]],4,),VLOOKUP(I20,Tabelle1[[Ort]:[RK KLV C üD]],7)),"")</f>
        <v/>
      </c>
      <c r="S20" s="78" t="str">
        <f>IFERROR(tbl_Ferienaufenthalt_SO[[#This Row],[KLV A]]*tbl_Ferienaufenthalt_SO[[#This Row],[KLV A Ansatz]]/60,"")</f>
        <v/>
      </c>
      <c r="T20" s="78" t="str">
        <f>IFERROR(tbl_Ferienaufenthalt_SO[[#This Row],[KLV B]]*tbl_Ferienaufenthalt_SO[[#This Row],[KLV B Ansatz]]/60,"")</f>
        <v/>
      </c>
      <c r="U20" s="78" t="str">
        <f>IFERROR(tbl_Ferienaufenthalt_SO[[#This Row],[KLV C]]*tbl_Ferienaufenthalt_SO[[#This Row],[KLV C Ansatz]]/60,"")</f>
        <v/>
      </c>
      <c r="V20" s="78">
        <f t="shared" ref="V20:V61" si="2">IFERROR(SUM(S20:U20),"")</f>
        <v>0</v>
      </c>
      <c r="W20" s="81">
        <f>COUNTIF($H$12:$H20,H20)</f>
        <v>0</v>
      </c>
      <c r="X20" s="189"/>
      <c r="Y20" s="189"/>
    </row>
    <row r="21" spans="1:25" x14ac:dyDescent="0.2">
      <c r="A21" s="17">
        <v>10</v>
      </c>
      <c r="B21" s="189"/>
      <c r="C21" s="189"/>
      <c r="D21" s="190"/>
      <c r="E21" s="191"/>
      <c r="F21" s="190"/>
      <c r="G21" s="189"/>
      <c r="H21" s="189"/>
      <c r="I21" s="189"/>
      <c r="J21" s="189"/>
      <c r="K21" s="189"/>
      <c r="L21" s="189"/>
      <c r="M21" s="189"/>
      <c r="N21" s="189"/>
      <c r="O21" s="15">
        <f t="shared" si="0"/>
        <v>0</v>
      </c>
      <c r="P21" s="77" t="str">
        <f>IFERROR(IF(IFERROR(MATCH($C$4&amp;$I21,Tabelle2[Codierung],0),0)&gt;0,VLOOKUP(I21,Tabelle1[[Ort]:[RK KLV C üD]],2,),VLOOKUP(I21,Tabelle1[[Ort]:[RK KLV C üD]],5)),"")</f>
        <v/>
      </c>
      <c r="Q21" s="77" t="str">
        <f>IFERROR(IF(IFERROR(MATCH($C$4&amp;$I21,Tabelle2[Codierung],0),0)&gt;0,VLOOKUP(I21,Tabelle1[[Ort]:[RK KLV C üD]],3,),VLOOKUP(I21,Tabelle1[[Ort]:[RK KLV C üD]],6)),"")</f>
        <v/>
      </c>
      <c r="R21" s="77" t="str">
        <f>IFERROR(IF(IFERROR(MATCH($C$4&amp;$I21,Tabelle2[Codierung],0),0)&gt;0,VLOOKUP(I21,Tabelle1[[Ort]:[RK KLV C üD]],4,),VLOOKUP(I21,Tabelle1[[Ort]:[RK KLV C üD]],7)),"")</f>
        <v/>
      </c>
      <c r="S21" s="78" t="str">
        <f>IFERROR(tbl_Ferienaufenthalt_SO[[#This Row],[KLV A]]*tbl_Ferienaufenthalt_SO[[#This Row],[KLV A Ansatz]]/60,"")</f>
        <v/>
      </c>
      <c r="T21" s="78" t="str">
        <f>IFERROR(tbl_Ferienaufenthalt_SO[[#This Row],[KLV B]]*tbl_Ferienaufenthalt_SO[[#This Row],[KLV B Ansatz]]/60,"")</f>
        <v/>
      </c>
      <c r="U21" s="78" t="str">
        <f>IFERROR(tbl_Ferienaufenthalt_SO[[#This Row],[KLV C]]*tbl_Ferienaufenthalt_SO[[#This Row],[KLV C Ansatz]]/60,"")</f>
        <v/>
      </c>
      <c r="V21" s="78">
        <f t="shared" si="2"/>
        <v>0</v>
      </c>
      <c r="W21" s="81">
        <f>COUNTIF($H$12:$H21,H21)</f>
        <v>0</v>
      </c>
      <c r="X21" s="189"/>
      <c r="Y21" s="189"/>
    </row>
    <row r="22" spans="1:25" x14ac:dyDescent="0.2">
      <c r="A22" s="17">
        <v>11</v>
      </c>
      <c r="B22" s="189"/>
      <c r="C22" s="189"/>
      <c r="D22" s="190"/>
      <c r="E22" s="191"/>
      <c r="F22" s="190"/>
      <c r="G22" s="189"/>
      <c r="H22" s="189"/>
      <c r="I22" s="189"/>
      <c r="J22" s="189"/>
      <c r="K22" s="189"/>
      <c r="L22" s="189"/>
      <c r="M22" s="189"/>
      <c r="N22" s="189"/>
      <c r="O22" s="15">
        <f t="shared" si="0"/>
        <v>0</v>
      </c>
      <c r="P22" s="77" t="str">
        <f>IFERROR(IF(IFERROR(MATCH($C$4&amp;$I22,Tabelle2[Codierung],0),0)&gt;0,VLOOKUP(I22,Tabelle1[[Ort]:[RK KLV C üD]],2,),VLOOKUP(I22,Tabelle1[[Ort]:[RK KLV C üD]],5)),"")</f>
        <v/>
      </c>
      <c r="Q22" s="77" t="str">
        <f>IFERROR(IF(IFERROR(MATCH($C$4&amp;$I22,Tabelle2[Codierung],0),0)&gt;0,VLOOKUP(I22,Tabelle1[[Ort]:[RK KLV C üD]],3,),VLOOKUP(I22,Tabelle1[[Ort]:[RK KLV C üD]],6)),"")</f>
        <v/>
      </c>
      <c r="R22" s="77" t="str">
        <f>IFERROR(IF(IFERROR(MATCH($C$4&amp;$I22,Tabelle2[Codierung],0),0)&gt;0,VLOOKUP(I22,Tabelle1[[Ort]:[RK KLV C üD]],4,),VLOOKUP(I22,Tabelle1[[Ort]:[RK KLV C üD]],7)),"")</f>
        <v/>
      </c>
      <c r="S22" s="78" t="str">
        <f>IFERROR(tbl_Ferienaufenthalt_SO[[#This Row],[KLV A]]*tbl_Ferienaufenthalt_SO[[#This Row],[KLV A Ansatz]]/60,"")</f>
        <v/>
      </c>
      <c r="T22" s="78" t="str">
        <f>IFERROR(tbl_Ferienaufenthalt_SO[[#This Row],[KLV B]]*tbl_Ferienaufenthalt_SO[[#This Row],[KLV B Ansatz]]/60,"")</f>
        <v/>
      </c>
      <c r="U22" s="78" t="str">
        <f>IFERROR(tbl_Ferienaufenthalt_SO[[#This Row],[KLV C]]*tbl_Ferienaufenthalt_SO[[#This Row],[KLV C Ansatz]]/60,"")</f>
        <v/>
      </c>
      <c r="V22" s="78">
        <f t="shared" si="2"/>
        <v>0</v>
      </c>
      <c r="W22" s="81">
        <f>COUNTIF($H$12:$H22,H22)</f>
        <v>0</v>
      </c>
      <c r="X22" s="189"/>
      <c r="Y22" s="189"/>
    </row>
    <row r="23" spans="1:25" x14ac:dyDescent="0.2">
      <c r="A23" s="17">
        <v>12</v>
      </c>
      <c r="B23" s="189"/>
      <c r="C23" s="189"/>
      <c r="D23" s="190"/>
      <c r="E23" s="191"/>
      <c r="F23" s="190"/>
      <c r="G23" s="189"/>
      <c r="H23" s="189"/>
      <c r="I23" s="189"/>
      <c r="J23" s="189"/>
      <c r="K23" s="189"/>
      <c r="L23" s="189"/>
      <c r="M23" s="189"/>
      <c r="N23" s="189"/>
      <c r="O23" s="15">
        <f t="shared" si="0"/>
        <v>0</v>
      </c>
      <c r="P23" s="77" t="str">
        <f>IFERROR(IF(IFERROR(MATCH($C$4&amp;$I23,Tabelle2[Codierung],0),0)&gt;0,VLOOKUP(I23,Tabelle1[[Ort]:[RK KLV C üD]],2,),VLOOKUP(I23,Tabelle1[[Ort]:[RK KLV C üD]],5)),"")</f>
        <v/>
      </c>
      <c r="Q23" s="77" t="str">
        <f>IFERROR(IF(IFERROR(MATCH($C$4&amp;$I23,Tabelle2[Codierung],0),0)&gt;0,VLOOKUP(I23,Tabelle1[[Ort]:[RK KLV C üD]],3,),VLOOKUP(I23,Tabelle1[[Ort]:[RK KLV C üD]],6)),"")</f>
        <v/>
      </c>
      <c r="R23" s="77" t="str">
        <f>IFERROR(IF(IFERROR(MATCH($C$4&amp;$I23,Tabelle2[Codierung],0),0)&gt;0,VLOOKUP(I23,Tabelle1[[Ort]:[RK KLV C üD]],4,),VLOOKUP(I23,Tabelle1[[Ort]:[RK KLV C üD]],7)),"")</f>
        <v/>
      </c>
      <c r="S23" s="78" t="str">
        <f>IFERROR(tbl_Ferienaufenthalt_SO[[#This Row],[KLV A]]*tbl_Ferienaufenthalt_SO[[#This Row],[KLV A Ansatz]]/60,"")</f>
        <v/>
      </c>
      <c r="T23" s="78" t="str">
        <f>IFERROR(tbl_Ferienaufenthalt_SO[[#This Row],[KLV B]]*tbl_Ferienaufenthalt_SO[[#This Row],[KLV B Ansatz]]/60,"")</f>
        <v/>
      </c>
      <c r="U23" s="78" t="str">
        <f>IFERROR(tbl_Ferienaufenthalt_SO[[#This Row],[KLV C]]*tbl_Ferienaufenthalt_SO[[#This Row],[KLV C Ansatz]]/60,"")</f>
        <v/>
      </c>
      <c r="V23" s="78">
        <f t="shared" si="2"/>
        <v>0</v>
      </c>
      <c r="W23" s="81">
        <f>COUNTIF($H$12:$H23,H23)</f>
        <v>0</v>
      </c>
      <c r="X23" s="189"/>
      <c r="Y23" s="189"/>
    </row>
    <row r="24" spans="1:25" x14ac:dyDescent="0.2">
      <c r="A24" s="17">
        <v>13</v>
      </c>
      <c r="B24" s="189"/>
      <c r="C24" s="189"/>
      <c r="D24" s="190"/>
      <c r="E24" s="191"/>
      <c r="F24" s="190"/>
      <c r="G24" s="189"/>
      <c r="H24" s="189"/>
      <c r="I24" s="189"/>
      <c r="J24" s="189"/>
      <c r="K24" s="189"/>
      <c r="L24" s="189"/>
      <c r="M24" s="189"/>
      <c r="N24" s="189"/>
      <c r="O24" s="15">
        <f t="shared" si="0"/>
        <v>0</v>
      </c>
      <c r="P24" s="77" t="str">
        <f>IFERROR(IF(IFERROR(MATCH($C$4&amp;$I24,Tabelle2[Codierung],0),0)&gt;0,VLOOKUP(I24,Tabelle1[[Ort]:[RK KLV C üD]],2,),VLOOKUP(I24,Tabelle1[[Ort]:[RK KLV C üD]],5)),"")</f>
        <v/>
      </c>
      <c r="Q24" s="77" t="str">
        <f>IFERROR(IF(IFERROR(MATCH($C$4&amp;$I24,Tabelle2[Codierung],0),0)&gt;0,VLOOKUP(I24,Tabelle1[[Ort]:[RK KLV C üD]],3,),VLOOKUP(I24,Tabelle1[[Ort]:[RK KLV C üD]],6)),"")</f>
        <v/>
      </c>
      <c r="R24" s="77" t="str">
        <f>IFERROR(IF(IFERROR(MATCH($C$4&amp;$I24,Tabelle2[Codierung],0),0)&gt;0,VLOOKUP(I24,Tabelle1[[Ort]:[RK KLV C üD]],4,),VLOOKUP(I24,Tabelle1[[Ort]:[RK KLV C üD]],7)),"")</f>
        <v/>
      </c>
      <c r="S24" s="78" t="str">
        <f>IFERROR(tbl_Ferienaufenthalt_SO[[#This Row],[KLV A]]*tbl_Ferienaufenthalt_SO[[#This Row],[KLV A Ansatz]]/60,"")</f>
        <v/>
      </c>
      <c r="T24" s="78" t="str">
        <f>IFERROR(tbl_Ferienaufenthalt_SO[[#This Row],[KLV B]]*tbl_Ferienaufenthalt_SO[[#This Row],[KLV B Ansatz]]/60,"")</f>
        <v/>
      </c>
      <c r="U24" s="78" t="str">
        <f>IFERROR(tbl_Ferienaufenthalt_SO[[#This Row],[KLV C]]*tbl_Ferienaufenthalt_SO[[#This Row],[KLV C Ansatz]]/60,"")</f>
        <v/>
      </c>
      <c r="V24" s="78">
        <f t="shared" si="2"/>
        <v>0</v>
      </c>
      <c r="W24" s="81">
        <f>COUNTIF($H$12:$H24,H24)</f>
        <v>0</v>
      </c>
      <c r="X24" s="189"/>
      <c r="Y24" s="189"/>
    </row>
    <row r="25" spans="1:25" x14ac:dyDescent="0.2">
      <c r="A25" s="17">
        <v>14</v>
      </c>
      <c r="B25" s="189"/>
      <c r="C25" s="189"/>
      <c r="D25" s="190"/>
      <c r="E25" s="191"/>
      <c r="F25" s="190"/>
      <c r="G25" s="189"/>
      <c r="H25" s="189"/>
      <c r="I25" s="189"/>
      <c r="J25" s="189"/>
      <c r="K25" s="189"/>
      <c r="L25" s="189"/>
      <c r="M25" s="189"/>
      <c r="N25" s="189"/>
      <c r="O25" s="15">
        <f t="shared" si="0"/>
        <v>0</v>
      </c>
      <c r="P25" s="77" t="str">
        <f>IFERROR(IF(IFERROR(MATCH($C$4&amp;$I25,Tabelle2[Codierung],0),0)&gt;0,VLOOKUP(I25,Tabelle1[[Ort]:[RK KLV C üD]],2,),VLOOKUP(I25,Tabelle1[[Ort]:[RK KLV C üD]],5)),"")</f>
        <v/>
      </c>
      <c r="Q25" s="77" t="str">
        <f>IFERROR(IF(IFERROR(MATCH($C$4&amp;$I25,Tabelle2[Codierung],0),0)&gt;0,VLOOKUP(I25,Tabelle1[[Ort]:[RK KLV C üD]],3,),VLOOKUP(I25,Tabelle1[[Ort]:[RK KLV C üD]],6)),"")</f>
        <v/>
      </c>
      <c r="R25" s="77" t="str">
        <f>IFERROR(IF(IFERROR(MATCH($C$4&amp;$I25,Tabelle2[Codierung],0),0)&gt;0,VLOOKUP(I25,Tabelle1[[Ort]:[RK KLV C üD]],4,),VLOOKUP(I25,Tabelle1[[Ort]:[RK KLV C üD]],7)),"")</f>
        <v/>
      </c>
      <c r="S25" s="78" t="str">
        <f>IFERROR(tbl_Ferienaufenthalt_SO[[#This Row],[KLV A]]*tbl_Ferienaufenthalt_SO[[#This Row],[KLV A Ansatz]]/60,"")</f>
        <v/>
      </c>
      <c r="T25" s="78" t="str">
        <f>IFERROR(tbl_Ferienaufenthalt_SO[[#This Row],[KLV B]]*tbl_Ferienaufenthalt_SO[[#This Row],[KLV B Ansatz]]/60,"")</f>
        <v/>
      </c>
      <c r="U25" s="78" t="str">
        <f>IFERROR(tbl_Ferienaufenthalt_SO[[#This Row],[KLV C]]*tbl_Ferienaufenthalt_SO[[#This Row],[KLV C Ansatz]]/60,"")</f>
        <v/>
      </c>
      <c r="V25" s="78">
        <f t="shared" si="2"/>
        <v>0</v>
      </c>
      <c r="W25" s="81">
        <f>COUNTIF($H$12:$H25,H25)</f>
        <v>0</v>
      </c>
      <c r="X25" s="189"/>
      <c r="Y25" s="189"/>
    </row>
    <row r="26" spans="1:25" x14ac:dyDescent="0.2">
      <c r="A26" s="17">
        <v>15</v>
      </c>
      <c r="B26" s="189"/>
      <c r="C26" s="189"/>
      <c r="D26" s="190"/>
      <c r="E26" s="191"/>
      <c r="F26" s="190"/>
      <c r="G26" s="189"/>
      <c r="H26" s="189"/>
      <c r="I26" s="189"/>
      <c r="J26" s="189"/>
      <c r="K26" s="189"/>
      <c r="L26" s="189"/>
      <c r="M26" s="189"/>
      <c r="N26" s="189"/>
      <c r="O26" s="15">
        <f t="shared" si="0"/>
        <v>0</v>
      </c>
      <c r="P26" s="77" t="str">
        <f>IFERROR(IF(IFERROR(MATCH($C$4&amp;$I26,Tabelle2[Codierung],0),0)&gt;0,VLOOKUP(I26,Tabelle1[[Ort]:[RK KLV C üD]],2,),VLOOKUP(I26,Tabelle1[[Ort]:[RK KLV C üD]],5)),"")</f>
        <v/>
      </c>
      <c r="Q26" s="77" t="str">
        <f>IFERROR(IF(IFERROR(MATCH($C$4&amp;$I26,Tabelle2[Codierung],0),0)&gt;0,VLOOKUP(I26,Tabelle1[[Ort]:[RK KLV C üD]],3,),VLOOKUP(I26,Tabelle1[[Ort]:[RK KLV C üD]],6)),"")</f>
        <v/>
      </c>
      <c r="R26" s="77" t="str">
        <f>IFERROR(IF(IFERROR(MATCH($C$4&amp;$I26,Tabelle2[Codierung],0),0)&gt;0,VLOOKUP(I26,Tabelle1[[Ort]:[RK KLV C üD]],4,),VLOOKUP(I26,Tabelle1[[Ort]:[RK KLV C üD]],7)),"")</f>
        <v/>
      </c>
      <c r="S26" s="78" t="str">
        <f>IFERROR(tbl_Ferienaufenthalt_SO[[#This Row],[KLV A]]*tbl_Ferienaufenthalt_SO[[#This Row],[KLV A Ansatz]]/60,"")</f>
        <v/>
      </c>
      <c r="T26" s="78" t="str">
        <f>IFERROR(tbl_Ferienaufenthalt_SO[[#This Row],[KLV B]]*tbl_Ferienaufenthalt_SO[[#This Row],[KLV B Ansatz]]/60,"")</f>
        <v/>
      </c>
      <c r="U26" s="78" t="str">
        <f>IFERROR(tbl_Ferienaufenthalt_SO[[#This Row],[KLV C]]*tbl_Ferienaufenthalt_SO[[#This Row],[KLV C Ansatz]]/60,"")</f>
        <v/>
      </c>
      <c r="V26" s="78">
        <f t="shared" si="2"/>
        <v>0</v>
      </c>
      <c r="W26" s="81">
        <f>COUNTIF($H$12:$H26,H26)</f>
        <v>0</v>
      </c>
      <c r="X26" s="189"/>
      <c r="Y26" s="189"/>
    </row>
    <row r="27" spans="1:25" x14ac:dyDescent="0.2">
      <c r="A27" s="17">
        <v>16</v>
      </c>
      <c r="B27" s="189"/>
      <c r="C27" s="189"/>
      <c r="D27" s="190"/>
      <c r="E27" s="191"/>
      <c r="F27" s="190"/>
      <c r="G27" s="189"/>
      <c r="H27" s="189"/>
      <c r="I27" s="189"/>
      <c r="J27" s="189"/>
      <c r="K27" s="189"/>
      <c r="L27" s="189"/>
      <c r="M27" s="189"/>
      <c r="N27" s="189"/>
      <c r="O27" s="15">
        <f t="shared" si="0"/>
        <v>0</v>
      </c>
      <c r="P27" s="77" t="str">
        <f>IFERROR(IF(IFERROR(MATCH($C$4&amp;$I27,Tabelle2[Codierung],0),0)&gt;0,VLOOKUP(I27,Tabelle1[[Ort]:[RK KLV C üD]],2,),VLOOKUP(I27,Tabelle1[[Ort]:[RK KLV C üD]],5)),"")</f>
        <v/>
      </c>
      <c r="Q27" s="77" t="str">
        <f>IFERROR(IF(IFERROR(MATCH($C$4&amp;$I27,Tabelle2[Codierung],0),0)&gt;0,VLOOKUP(I27,Tabelle1[[Ort]:[RK KLV C üD]],3,),VLOOKUP(I27,Tabelle1[[Ort]:[RK KLV C üD]],6)),"")</f>
        <v/>
      </c>
      <c r="R27" s="77" t="str">
        <f>IFERROR(IF(IFERROR(MATCH($C$4&amp;$I27,Tabelle2[Codierung],0),0)&gt;0,VLOOKUP(I27,Tabelle1[[Ort]:[RK KLV C üD]],4,),VLOOKUP(I27,Tabelle1[[Ort]:[RK KLV C üD]],7)),"")</f>
        <v/>
      </c>
      <c r="S27" s="78" t="str">
        <f>IFERROR(tbl_Ferienaufenthalt_SO[[#This Row],[KLV A]]*tbl_Ferienaufenthalt_SO[[#This Row],[KLV A Ansatz]]/60,"")</f>
        <v/>
      </c>
      <c r="T27" s="78" t="str">
        <f>IFERROR(tbl_Ferienaufenthalt_SO[[#This Row],[KLV B]]*tbl_Ferienaufenthalt_SO[[#This Row],[KLV B Ansatz]]/60,"")</f>
        <v/>
      </c>
      <c r="U27" s="78" t="str">
        <f>IFERROR(tbl_Ferienaufenthalt_SO[[#This Row],[KLV C]]*tbl_Ferienaufenthalt_SO[[#This Row],[KLV C Ansatz]]/60,"")</f>
        <v/>
      </c>
      <c r="V27" s="78">
        <f t="shared" si="2"/>
        <v>0</v>
      </c>
      <c r="W27" s="81">
        <f>COUNTIF($H$12:$H27,H27)</f>
        <v>0</v>
      </c>
      <c r="X27" s="189"/>
      <c r="Y27" s="189"/>
    </row>
    <row r="28" spans="1:25" x14ac:dyDescent="0.2">
      <c r="A28" s="17">
        <v>17</v>
      </c>
      <c r="B28" s="189"/>
      <c r="C28" s="189"/>
      <c r="D28" s="190"/>
      <c r="E28" s="191"/>
      <c r="F28" s="190"/>
      <c r="G28" s="189"/>
      <c r="H28" s="189"/>
      <c r="I28" s="189"/>
      <c r="J28" s="189"/>
      <c r="K28" s="189"/>
      <c r="L28" s="189"/>
      <c r="M28" s="189"/>
      <c r="N28" s="189"/>
      <c r="O28" s="15">
        <f t="shared" si="0"/>
        <v>0</v>
      </c>
      <c r="P28" s="77" t="str">
        <f>IFERROR(IF(IFERROR(MATCH($C$4&amp;$I28,Tabelle2[Codierung],0),0)&gt;0,VLOOKUP(I28,Tabelle1[[Ort]:[RK KLV C üD]],2,),VLOOKUP(I28,Tabelle1[[Ort]:[RK KLV C üD]],5)),"")</f>
        <v/>
      </c>
      <c r="Q28" s="77" t="str">
        <f>IFERROR(IF(IFERROR(MATCH($C$4&amp;$I28,Tabelle2[Codierung],0),0)&gt;0,VLOOKUP(I28,Tabelle1[[Ort]:[RK KLV C üD]],3,),VLOOKUP(I28,Tabelle1[[Ort]:[RK KLV C üD]],6)),"")</f>
        <v/>
      </c>
      <c r="R28" s="77" t="str">
        <f>IFERROR(IF(IFERROR(MATCH($C$4&amp;$I28,Tabelle2[Codierung],0),0)&gt;0,VLOOKUP(I28,Tabelle1[[Ort]:[RK KLV C üD]],4,),VLOOKUP(I28,Tabelle1[[Ort]:[RK KLV C üD]],7)),"")</f>
        <v/>
      </c>
      <c r="S28" s="78" t="str">
        <f>IFERROR(tbl_Ferienaufenthalt_SO[[#This Row],[KLV A]]*tbl_Ferienaufenthalt_SO[[#This Row],[KLV A Ansatz]]/60,"")</f>
        <v/>
      </c>
      <c r="T28" s="78" t="str">
        <f>IFERROR(tbl_Ferienaufenthalt_SO[[#This Row],[KLV B]]*tbl_Ferienaufenthalt_SO[[#This Row],[KLV B Ansatz]]/60,"")</f>
        <v/>
      </c>
      <c r="U28" s="78" t="str">
        <f>IFERROR(tbl_Ferienaufenthalt_SO[[#This Row],[KLV C]]*tbl_Ferienaufenthalt_SO[[#This Row],[KLV C Ansatz]]/60,"")</f>
        <v/>
      </c>
      <c r="V28" s="78">
        <f t="shared" si="2"/>
        <v>0</v>
      </c>
      <c r="W28" s="81">
        <f>COUNTIF($H$12:$H28,H28)</f>
        <v>0</v>
      </c>
      <c r="X28" s="189"/>
      <c r="Y28" s="189"/>
    </row>
    <row r="29" spans="1:25" x14ac:dyDescent="0.2">
      <c r="A29" s="17">
        <v>18</v>
      </c>
      <c r="B29" s="189"/>
      <c r="C29" s="189"/>
      <c r="D29" s="190"/>
      <c r="E29" s="191"/>
      <c r="F29" s="190"/>
      <c r="G29" s="189"/>
      <c r="H29" s="189"/>
      <c r="I29" s="189"/>
      <c r="J29" s="189"/>
      <c r="K29" s="189"/>
      <c r="L29" s="189"/>
      <c r="M29" s="189"/>
      <c r="N29" s="189"/>
      <c r="O29" s="15">
        <f t="shared" si="0"/>
        <v>0</v>
      </c>
      <c r="P29" s="77" t="str">
        <f>IFERROR(IF(IFERROR(MATCH($C$4&amp;$I29,Tabelle2[Codierung],0),0)&gt;0,VLOOKUP(I29,Tabelle1[[Ort]:[RK KLV C üD]],2,),VLOOKUP(I29,Tabelle1[[Ort]:[RK KLV C üD]],5)),"")</f>
        <v/>
      </c>
      <c r="Q29" s="77" t="str">
        <f>IFERROR(IF(IFERROR(MATCH($C$4&amp;$I29,Tabelle2[Codierung],0),0)&gt;0,VLOOKUP(I29,Tabelle1[[Ort]:[RK KLV C üD]],3,),VLOOKUP(I29,Tabelle1[[Ort]:[RK KLV C üD]],6)),"")</f>
        <v/>
      </c>
      <c r="R29" s="77" t="str">
        <f>IFERROR(IF(IFERROR(MATCH($C$4&amp;$I29,Tabelle2[Codierung],0),0)&gt;0,VLOOKUP(I29,Tabelle1[[Ort]:[RK KLV C üD]],4,),VLOOKUP(I29,Tabelle1[[Ort]:[RK KLV C üD]],7)),"")</f>
        <v/>
      </c>
      <c r="S29" s="78" t="str">
        <f>IFERROR(tbl_Ferienaufenthalt_SO[[#This Row],[KLV A]]*tbl_Ferienaufenthalt_SO[[#This Row],[KLV A Ansatz]]/60,"")</f>
        <v/>
      </c>
      <c r="T29" s="78" t="str">
        <f>IFERROR(tbl_Ferienaufenthalt_SO[[#This Row],[KLV B]]*tbl_Ferienaufenthalt_SO[[#This Row],[KLV B Ansatz]]/60,"")</f>
        <v/>
      </c>
      <c r="U29" s="78" t="str">
        <f>IFERROR(tbl_Ferienaufenthalt_SO[[#This Row],[KLV C]]*tbl_Ferienaufenthalt_SO[[#This Row],[KLV C Ansatz]]/60,"")</f>
        <v/>
      </c>
      <c r="V29" s="78">
        <f t="shared" si="2"/>
        <v>0</v>
      </c>
      <c r="W29" s="81">
        <f>COUNTIF($H$12:$H29,H29)</f>
        <v>0</v>
      </c>
      <c r="X29" s="189"/>
      <c r="Y29" s="189"/>
    </row>
    <row r="30" spans="1:25" x14ac:dyDescent="0.2">
      <c r="A30" s="17">
        <v>19</v>
      </c>
      <c r="B30" s="189"/>
      <c r="C30" s="189"/>
      <c r="D30" s="190"/>
      <c r="E30" s="191"/>
      <c r="F30" s="190"/>
      <c r="G30" s="189"/>
      <c r="H30" s="189"/>
      <c r="I30" s="189"/>
      <c r="J30" s="189"/>
      <c r="K30" s="189"/>
      <c r="L30" s="189"/>
      <c r="M30" s="189"/>
      <c r="N30" s="189"/>
      <c r="O30" s="15">
        <f t="shared" si="0"/>
        <v>0</v>
      </c>
      <c r="P30" s="77" t="str">
        <f>IFERROR(IF(IFERROR(MATCH($C$4&amp;$I30,Tabelle2[Codierung],0),0)&gt;0,VLOOKUP(I30,Tabelle1[[Ort]:[RK KLV C üD]],2,),VLOOKUP(I30,Tabelle1[[Ort]:[RK KLV C üD]],5)),"")</f>
        <v/>
      </c>
      <c r="Q30" s="77" t="str">
        <f>IFERROR(IF(IFERROR(MATCH($C$4&amp;$I30,Tabelle2[Codierung],0),0)&gt;0,VLOOKUP(I30,Tabelle1[[Ort]:[RK KLV C üD]],3,),VLOOKUP(I30,Tabelle1[[Ort]:[RK KLV C üD]],6)),"")</f>
        <v/>
      </c>
      <c r="R30" s="77" t="str">
        <f>IFERROR(IF(IFERROR(MATCH($C$4&amp;$I30,Tabelle2[Codierung],0),0)&gt;0,VLOOKUP(I30,Tabelle1[[Ort]:[RK KLV C üD]],4,),VLOOKUP(I30,Tabelle1[[Ort]:[RK KLV C üD]],7)),"")</f>
        <v/>
      </c>
      <c r="S30" s="78" t="str">
        <f>IFERROR(tbl_Ferienaufenthalt_SO[[#This Row],[KLV A]]*tbl_Ferienaufenthalt_SO[[#This Row],[KLV A Ansatz]]/60,"")</f>
        <v/>
      </c>
      <c r="T30" s="78" t="str">
        <f>IFERROR(tbl_Ferienaufenthalt_SO[[#This Row],[KLV B]]*tbl_Ferienaufenthalt_SO[[#This Row],[KLV B Ansatz]]/60,"")</f>
        <v/>
      </c>
      <c r="U30" s="78" t="str">
        <f>IFERROR(tbl_Ferienaufenthalt_SO[[#This Row],[KLV C]]*tbl_Ferienaufenthalt_SO[[#This Row],[KLV C Ansatz]]/60,"")</f>
        <v/>
      </c>
      <c r="V30" s="78">
        <f t="shared" si="2"/>
        <v>0</v>
      </c>
      <c r="W30" s="81">
        <f>COUNTIF($H$12:$H30,H30)</f>
        <v>0</v>
      </c>
      <c r="X30" s="189"/>
      <c r="Y30" s="189"/>
    </row>
    <row r="31" spans="1:25" x14ac:dyDescent="0.2">
      <c r="A31" s="17">
        <v>20</v>
      </c>
      <c r="B31" s="189"/>
      <c r="C31" s="189"/>
      <c r="D31" s="190"/>
      <c r="E31" s="191"/>
      <c r="F31" s="190"/>
      <c r="G31" s="189"/>
      <c r="H31" s="189"/>
      <c r="I31" s="189"/>
      <c r="J31" s="189"/>
      <c r="K31" s="189"/>
      <c r="L31" s="189"/>
      <c r="M31" s="189"/>
      <c r="N31" s="189"/>
      <c r="O31" s="15">
        <f t="shared" si="0"/>
        <v>0</v>
      </c>
      <c r="P31" s="77" t="str">
        <f>IFERROR(IF(IFERROR(MATCH($C$4&amp;$I31,Tabelle2[Codierung],0),0)&gt;0,VLOOKUP(I31,Tabelle1[[Ort]:[RK KLV C üD]],2,),VLOOKUP(I31,Tabelle1[[Ort]:[RK KLV C üD]],5)),"")</f>
        <v/>
      </c>
      <c r="Q31" s="77" t="str">
        <f>IFERROR(IF(IFERROR(MATCH($C$4&amp;$I31,Tabelle2[Codierung],0),0)&gt;0,VLOOKUP(I31,Tabelle1[[Ort]:[RK KLV C üD]],3,),VLOOKUP(I31,Tabelle1[[Ort]:[RK KLV C üD]],6)),"")</f>
        <v/>
      </c>
      <c r="R31" s="77" t="str">
        <f>IFERROR(IF(IFERROR(MATCH($C$4&amp;$I31,Tabelle2[Codierung],0),0)&gt;0,VLOOKUP(I31,Tabelle1[[Ort]:[RK KLV C üD]],4,),VLOOKUP(I31,Tabelle1[[Ort]:[RK KLV C üD]],7)),"")</f>
        <v/>
      </c>
      <c r="S31" s="78" t="str">
        <f>IFERROR(tbl_Ferienaufenthalt_SO[[#This Row],[KLV A]]*tbl_Ferienaufenthalt_SO[[#This Row],[KLV A Ansatz]]/60,"")</f>
        <v/>
      </c>
      <c r="T31" s="78" t="str">
        <f>IFERROR(tbl_Ferienaufenthalt_SO[[#This Row],[KLV B]]*tbl_Ferienaufenthalt_SO[[#This Row],[KLV B Ansatz]]/60,"")</f>
        <v/>
      </c>
      <c r="U31" s="78" t="str">
        <f>IFERROR(tbl_Ferienaufenthalt_SO[[#This Row],[KLV C]]*tbl_Ferienaufenthalt_SO[[#This Row],[KLV C Ansatz]]/60,"")</f>
        <v/>
      </c>
      <c r="V31" s="78">
        <f t="shared" si="2"/>
        <v>0</v>
      </c>
      <c r="W31" s="81">
        <f>COUNTIF($H$12:$H31,H31)</f>
        <v>0</v>
      </c>
      <c r="X31" s="189"/>
      <c r="Y31" s="189"/>
    </row>
    <row r="32" spans="1:25" x14ac:dyDescent="0.2">
      <c r="A32" s="17">
        <v>21</v>
      </c>
      <c r="B32" s="189"/>
      <c r="C32" s="189"/>
      <c r="D32" s="190"/>
      <c r="E32" s="191"/>
      <c r="F32" s="190"/>
      <c r="G32" s="189"/>
      <c r="H32" s="189"/>
      <c r="I32" s="189"/>
      <c r="J32" s="189"/>
      <c r="K32" s="189"/>
      <c r="L32" s="189"/>
      <c r="M32" s="189"/>
      <c r="N32" s="189"/>
      <c r="O32" s="15">
        <f t="shared" si="0"/>
        <v>0</v>
      </c>
      <c r="P32" s="77" t="str">
        <f>IFERROR(IF(IFERROR(MATCH($C$4&amp;$I32,Tabelle2[Codierung],0),0)&gt;0,VLOOKUP(I32,Tabelle1[[Ort]:[RK KLV C üD]],2,),VLOOKUP(I32,Tabelle1[[Ort]:[RK KLV C üD]],5)),"")</f>
        <v/>
      </c>
      <c r="Q32" s="77" t="str">
        <f>IFERROR(IF(IFERROR(MATCH($C$4&amp;$I32,Tabelle2[Codierung],0),0)&gt;0,VLOOKUP(I32,Tabelle1[[Ort]:[RK KLV C üD]],3,),VLOOKUP(I32,Tabelle1[[Ort]:[RK KLV C üD]],6)),"")</f>
        <v/>
      </c>
      <c r="R32" s="77" t="str">
        <f>IFERROR(IF(IFERROR(MATCH($C$4&amp;$I32,Tabelle2[Codierung],0),0)&gt;0,VLOOKUP(I32,Tabelle1[[Ort]:[RK KLV C üD]],4,),VLOOKUP(I32,Tabelle1[[Ort]:[RK KLV C üD]],7)),"")</f>
        <v/>
      </c>
      <c r="S32" s="78" t="str">
        <f>IFERROR(tbl_Ferienaufenthalt_SO[[#This Row],[KLV A]]*tbl_Ferienaufenthalt_SO[[#This Row],[KLV A Ansatz]]/60,"")</f>
        <v/>
      </c>
      <c r="T32" s="78" t="str">
        <f>IFERROR(tbl_Ferienaufenthalt_SO[[#This Row],[KLV B]]*tbl_Ferienaufenthalt_SO[[#This Row],[KLV B Ansatz]]/60,"")</f>
        <v/>
      </c>
      <c r="U32" s="78" t="str">
        <f>IFERROR(tbl_Ferienaufenthalt_SO[[#This Row],[KLV C]]*tbl_Ferienaufenthalt_SO[[#This Row],[KLV C Ansatz]]/60,"")</f>
        <v/>
      </c>
      <c r="V32" s="78">
        <f t="shared" si="2"/>
        <v>0</v>
      </c>
      <c r="W32" s="81">
        <f>COUNTIF($H$12:$H32,H32)</f>
        <v>0</v>
      </c>
      <c r="X32" s="189"/>
      <c r="Y32" s="189"/>
    </row>
    <row r="33" spans="1:25" x14ac:dyDescent="0.2">
      <c r="A33" s="17">
        <v>22</v>
      </c>
      <c r="B33" s="189"/>
      <c r="C33" s="189"/>
      <c r="D33" s="190"/>
      <c r="E33" s="191"/>
      <c r="F33" s="190"/>
      <c r="G33" s="189"/>
      <c r="H33" s="189"/>
      <c r="I33" s="189"/>
      <c r="J33" s="189"/>
      <c r="K33" s="189"/>
      <c r="L33" s="189"/>
      <c r="M33" s="189"/>
      <c r="N33" s="189"/>
      <c r="O33" s="15">
        <f t="shared" si="0"/>
        <v>0</v>
      </c>
      <c r="P33" s="77" t="str">
        <f>IFERROR(IF(IFERROR(MATCH($C$4&amp;$I33,Tabelle2[Codierung],0),0)&gt;0,VLOOKUP(I33,Tabelle1[[Ort]:[RK KLV C üD]],2,),VLOOKUP(I33,Tabelle1[[Ort]:[RK KLV C üD]],5)),"")</f>
        <v/>
      </c>
      <c r="Q33" s="77" t="str">
        <f>IFERROR(IF(IFERROR(MATCH($C$4&amp;$I33,Tabelle2[Codierung],0),0)&gt;0,VLOOKUP(I33,Tabelle1[[Ort]:[RK KLV C üD]],3,),VLOOKUP(I33,Tabelle1[[Ort]:[RK KLV C üD]],6)),"")</f>
        <v/>
      </c>
      <c r="R33" s="77" t="str">
        <f>IFERROR(IF(IFERROR(MATCH($C$4&amp;$I33,Tabelle2[Codierung],0),0)&gt;0,VLOOKUP(I33,Tabelle1[[Ort]:[RK KLV C üD]],4,),VLOOKUP(I33,Tabelle1[[Ort]:[RK KLV C üD]],7)),"")</f>
        <v/>
      </c>
      <c r="S33" s="78" t="str">
        <f>IFERROR(tbl_Ferienaufenthalt_SO[[#This Row],[KLV A]]*tbl_Ferienaufenthalt_SO[[#This Row],[KLV A Ansatz]]/60,"")</f>
        <v/>
      </c>
      <c r="T33" s="78" t="str">
        <f>IFERROR(tbl_Ferienaufenthalt_SO[[#This Row],[KLV B]]*tbl_Ferienaufenthalt_SO[[#This Row],[KLV B Ansatz]]/60,"")</f>
        <v/>
      </c>
      <c r="U33" s="78" t="str">
        <f>IFERROR(tbl_Ferienaufenthalt_SO[[#This Row],[KLV C]]*tbl_Ferienaufenthalt_SO[[#This Row],[KLV C Ansatz]]/60,"")</f>
        <v/>
      </c>
      <c r="V33" s="78">
        <f t="shared" si="2"/>
        <v>0</v>
      </c>
      <c r="W33" s="81">
        <f>COUNTIF($H$12:$H33,H33)</f>
        <v>0</v>
      </c>
      <c r="X33" s="189"/>
      <c r="Y33" s="189"/>
    </row>
    <row r="34" spans="1:25" x14ac:dyDescent="0.2">
      <c r="A34" s="17">
        <v>23</v>
      </c>
      <c r="B34" s="189"/>
      <c r="C34" s="189"/>
      <c r="D34" s="190"/>
      <c r="E34" s="191"/>
      <c r="F34" s="190"/>
      <c r="G34" s="189"/>
      <c r="H34" s="189"/>
      <c r="I34" s="189"/>
      <c r="J34" s="189"/>
      <c r="K34" s="189"/>
      <c r="L34" s="189"/>
      <c r="M34" s="189"/>
      <c r="N34" s="189"/>
      <c r="O34" s="15">
        <f t="shared" si="0"/>
        <v>0</v>
      </c>
      <c r="P34" s="77" t="str">
        <f>IFERROR(IF(IFERROR(MATCH($C$4&amp;$I34,Tabelle2[Codierung],0),0)&gt;0,VLOOKUP(I34,Tabelle1[[Ort]:[RK KLV C üD]],2,),VLOOKUP(I34,Tabelle1[[Ort]:[RK KLV C üD]],5)),"")</f>
        <v/>
      </c>
      <c r="Q34" s="77" t="str">
        <f>IFERROR(IF(IFERROR(MATCH($C$4&amp;$I34,Tabelle2[Codierung],0),0)&gt;0,VLOOKUP(I34,Tabelle1[[Ort]:[RK KLV C üD]],3,),VLOOKUP(I34,Tabelle1[[Ort]:[RK KLV C üD]],6)),"")</f>
        <v/>
      </c>
      <c r="R34" s="77" t="str">
        <f>IFERROR(IF(IFERROR(MATCH($C$4&amp;$I34,Tabelle2[Codierung],0),0)&gt;0,VLOOKUP(I34,Tabelle1[[Ort]:[RK KLV C üD]],4,),VLOOKUP(I34,Tabelle1[[Ort]:[RK KLV C üD]],7)),"")</f>
        <v/>
      </c>
      <c r="S34" s="78" t="str">
        <f>IFERROR(tbl_Ferienaufenthalt_SO[[#This Row],[KLV A]]*tbl_Ferienaufenthalt_SO[[#This Row],[KLV A Ansatz]]/60,"")</f>
        <v/>
      </c>
      <c r="T34" s="78" t="str">
        <f>IFERROR(tbl_Ferienaufenthalt_SO[[#This Row],[KLV B]]*tbl_Ferienaufenthalt_SO[[#This Row],[KLV B Ansatz]]/60,"")</f>
        <v/>
      </c>
      <c r="U34" s="78" t="str">
        <f>IFERROR(tbl_Ferienaufenthalt_SO[[#This Row],[KLV C]]*tbl_Ferienaufenthalt_SO[[#This Row],[KLV C Ansatz]]/60,"")</f>
        <v/>
      </c>
      <c r="V34" s="78">
        <f t="shared" si="2"/>
        <v>0</v>
      </c>
      <c r="W34" s="81">
        <f>COUNTIF($H$12:$H34,H34)</f>
        <v>0</v>
      </c>
      <c r="X34" s="189"/>
      <c r="Y34" s="189"/>
    </row>
    <row r="35" spans="1:25" x14ac:dyDescent="0.2">
      <c r="A35" s="17">
        <v>24</v>
      </c>
      <c r="B35" s="189"/>
      <c r="C35" s="189"/>
      <c r="D35" s="190"/>
      <c r="E35" s="191"/>
      <c r="F35" s="190"/>
      <c r="G35" s="189"/>
      <c r="H35" s="189"/>
      <c r="I35" s="189"/>
      <c r="J35" s="189"/>
      <c r="K35" s="189"/>
      <c r="L35" s="189"/>
      <c r="M35" s="189"/>
      <c r="N35" s="189"/>
      <c r="O35" s="15">
        <f t="shared" si="0"/>
        <v>0</v>
      </c>
      <c r="P35" s="77" t="str">
        <f>IFERROR(IF(IFERROR(MATCH($C$4&amp;$I35,Tabelle2[Codierung],0),0)&gt;0,VLOOKUP(I35,Tabelle1[[Ort]:[RK KLV C üD]],2,),VLOOKUP(I35,Tabelle1[[Ort]:[RK KLV C üD]],5)),"")</f>
        <v/>
      </c>
      <c r="Q35" s="77" t="str">
        <f>IFERROR(IF(IFERROR(MATCH($C$4&amp;$I35,Tabelle2[Codierung],0),0)&gt;0,VLOOKUP(I35,Tabelle1[[Ort]:[RK KLV C üD]],3,),VLOOKUP(I35,Tabelle1[[Ort]:[RK KLV C üD]],6)),"")</f>
        <v/>
      </c>
      <c r="R35" s="77" t="str">
        <f>IFERROR(IF(IFERROR(MATCH($C$4&amp;$I35,Tabelle2[Codierung],0),0)&gt;0,VLOOKUP(I35,Tabelle1[[Ort]:[RK KLV C üD]],4,),VLOOKUP(I35,Tabelle1[[Ort]:[RK KLV C üD]],7)),"")</f>
        <v/>
      </c>
      <c r="S35" s="78" t="str">
        <f>IFERROR(tbl_Ferienaufenthalt_SO[[#This Row],[KLV A]]*tbl_Ferienaufenthalt_SO[[#This Row],[KLV A Ansatz]]/60,"")</f>
        <v/>
      </c>
      <c r="T35" s="78" t="str">
        <f>IFERROR(tbl_Ferienaufenthalt_SO[[#This Row],[KLV B]]*tbl_Ferienaufenthalt_SO[[#This Row],[KLV B Ansatz]]/60,"")</f>
        <v/>
      </c>
      <c r="U35" s="78" t="str">
        <f>IFERROR(tbl_Ferienaufenthalt_SO[[#This Row],[KLV C]]*tbl_Ferienaufenthalt_SO[[#This Row],[KLV C Ansatz]]/60,"")</f>
        <v/>
      </c>
      <c r="V35" s="78">
        <f t="shared" si="2"/>
        <v>0</v>
      </c>
      <c r="W35" s="81">
        <f>COUNTIF($H$12:$H35,H35)</f>
        <v>0</v>
      </c>
      <c r="X35" s="189"/>
      <c r="Y35" s="189"/>
    </row>
    <row r="36" spans="1:25" x14ac:dyDescent="0.2">
      <c r="A36" s="17">
        <v>25</v>
      </c>
      <c r="B36" s="189"/>
      <c r="C36" s="189"/>
      <c r="D36" s="190"/>
      <c r="E36" s="191"/>
      <c r="F36" s="190"/>
      <c r="G36" s="189"/>
      <c r="H36" s="189"/>
      <c r="I36" s="189"/>
      <c r="J36" s="189"/>
      <c r="K36" s="189"/>
      <c r="L36" s="189"/>
      <c r="M36" s="189"/>
      <c r="N36" s="189"/>
      <c r="O36" s="15">
        <f t="shared" si="0"/>
        <v>0</v>
      </c>
      <c r="P36" s="77" t="str">
        <f>IFERROR(IF(IFERROR(MATCH($C$4&amp;$I36,Tabelle2[Codierung],0),0)&gt;0,VLOOKUP(I36,Tabelle1[[Ort]:[RK KLV C üD]],2,),VLOOKUP(I36,Tabelle1[[Ort]:[RK KLV C üD]],5)),"")</f>
        <v/>
      </c>
      <c r="Q36" s="77" t="str">
        <f>IFERROR(IF(IFERROR(MATCH($C$4&amp;$I36,Tabelle2[Codierung],0),0)&gt;0,VLOOKUP(I36,Tabelle1[[Ort]:[RK KLV C üD]],3,),VLOOKUP(I36,Tabelle1[[Ort]:[RK KLV C üD]],6)),"")</f>
        <v/>
      </c>
      <c r="R36" s="77" t="str">
        <f>IFERROR(IF(IFERROR(MATCH($C$4&amp;$I36,Tabelle2[Codierung],0),0)&gt;0,VLOOKUP(I36,Tabelle1[[Ort]:[RK KLV C üD]],4,),VLOOKUP(I36,Tabelle1[[Ort]:[RK KLV C üD]],7)),"")</f>
        <v/>
      </c>
      <c r="S36" s="78" t="str">
        <f>IFERROR(tbl_Ferienaufenthalt_SO[[#This Row],[KLV A]]*tbl_Ferienaufenthalt_SO[[#This Row],[KLV A Ansatz]]/60,"")</f>
        <v/>
      </c>
      <c r="T36" s="78" t="str">
        <f>IFERROR(tbl_Ferienaufenthalt_SO[[#This Row],[KLV B]]*tbl_Ferienaufenthalt_SO[[#This Row],[KLV B Ansatz]]/60,"")</f>
        <v/>
      </c>
      <c r="U36" s="78" t="str">
        <f>IFERROR(tbl_Ferienaufenthalt_SO[[#This Row],[KLV C]]*tbl_Ferienaufenthalt_SO[[#This Row],[KLV C Ansatz]]/60,"")</f>
        <v/>
      </c>
      <c r="V36" s="78">
        <f t="shared" si="2"/>
        <v>0</v>
      </c>
      <c r="W36" s="81">
        <f>COUNTIF($H$12:$H36,H36)</f>
        <v>0</v>
      </c>
      <c r="X36" s="189"/>
      <c r="Y36" s="189"/>
    </row>
    <row r="37" spans="1:25" x14ac:dyDescent="0.2">
      <c r="A37" s="17">
        <v>26</v>
      </c>
      <c r="B37" s="189"/>
      <c r="C37" s="189"/>
      <c r="D37" s="190"/>
      <c r="E37" s="191"/>
      <c r="F37" s="190"/>
      <c r="G37" s="189"/>
      <c r="H37" s="189"/>
      <c r="I37" s="189"/>
      <c r="J37" s="189"/>
      <c r="K37" s="189"/>
      <c r="L37" s="189"/>
      <c r="M37" s="189"/>
      <c r="N37" s="189"/>
      <c r="O37" s="15">
        <f t="shared" si="0"/>
        <v>0</v>
      </c>
      <c r="P37" s="77" t="str">
        <f>IFERROR(IF(IFERROR(MATCH($C$4&amp;$I37,Tabelle2[Codierung],0),0)&gt;0,VLOOKUP(I37,Tabelle1[[Ort]:[RK KLV C üD]],2,),VLOOKUP(I37,Tabelle1[[Ort]:[RK KLV C üD]],5)),"")</f>
        <v/>
      </c>
      <c r="Q37" s="77" t="str">
        <f>IFERROR(IF(IFERROR(MATCH($C$4&amp;$I37,Tabelle2[Codierung],0),0)&gt;0,VLOOKUP(I37,Tabelle1[[Ort]:[RK KLV C üD]],3,),VLOOKUP(I37,Tabelle1[[Ort]:[RK KLV C üD]],6)),"")</f>
        <v/>
      </c>
      <c r="R37" s="77" t="str">
        <f>IFERROR(IF(IFERROR(MATCH($C$4&amp;$I37,Tabelle2[Codierung],0),0)&gt;0,VLOOKUP(I37,Tabelle1[[Ort]:[RK KLV C üD]],4,),VLOOKUP(I37,Tabelle1[[Ort]:[RK KLV C üD]],7)),"")</f>
        <v/>
      </c>
      <c r="S37" s="78" t="str">
        <f>IFERROR(tbl_Ferienaufenthalt_SO[[#This Row],[KLV A]]*tbl_Ferienaufenthalt_SO[[#This Row],[KLV A Ansatz]]/60,"")</f>
        <v/>
      </c>
      <c r="T37" s="78" t="str">
        <f>IFERROR(tbl_Ferienaufenthalt_SO[[#This Row],[KLV B]]*tbl_Ferienaufenthalt_SO[[#This Row],[KLV B Ansatz]]/60,"")</f>
        <v/>
      </c>
      <c r="U37" s="78" t="str">
        <f>IFERROR(tbl_Ferienaufenthalt_SO[[#This Row],[KLV C]]*tbl_Ferienaufenthalt_SO[[#This Row],[KLV C Ansatz]]/60,"")</f>
        <v/>
      </c>
      <c r="V37" s="78">
        <f t="shared" si="2"/>
        <v>0</v>
      </c>
      <c r="W37" s="81">
        <f>COUNTIF($H$12:$H37,H37)</f>
        <v>0</v>
      </c>
      <c r="X37" s="189"/>
      <c r="Y37" s="189"/>
    </row>
    <row r="38" spans="1:25" x14ac:dyDescent="0.2">
      <c r="A38" s="17">
        <v>27</v>
      </c>
      <c r="B38" s="189"/>
      <c r="C38" s="189"/>
      <c r="D38" s="190"/>
      <c r="E38" s="191"/>
      <c r="F38" s="190"/>
      <c r="G38" s="189"/>
      <c r="H38" s="189"/>
      <c r="I38" s="189"/>
      <c r="J38" s="189"/>
      <c r="K38" s="189"/>
      <c r="L38" s="189"/>
      <c r="M38" s="189"/>
      <c r="N38" s="189"/>
      <c r="O38" s="15">
        <f t="shared" si="0"/>
        <v>0</v>
      </c>
      <c r="P38" s="77" t="str">
        <f>IFERROR(IF(IFERROR(MATCH($C$4&amp;$I38,Tabelle2[Codierung],0),0)&gt;0,VLOOKUP(I38,Tabelle1[[Ort]:[RK KLV C üD]],2,),VLOOKUP(I38,Tabelle1[[Ort]:[RK KLV C üD]],5)),"")</f>
        <v/>
      </c>
      <c r="Q38" s="77" t="str">
        <f>IFERROR(IF(IFERROR(MATCH($C$4&amp;$I38,Tabelle2[Codierung],0),0)&gt;0,VLOOKUP(I38,Tabelle1[[Ort]:[RK KLV C üD]],3,),VLOOKUP(I38,Tabelle1[[Ort]:[RK KLV C üD]],6)),"")</f>
        <v/>
      </c>
      <c r="R38" s="77" t="str">
        <f>IFERROR(IF(IFERROR(MATCH($C$4&amp;$I38,Tabelle2[Codierung],0),0)&gt;0,VLOOKUP(I38,Tabelle1[[Ort]:[RK KLV C üD]],4,),VLOOKUP(I38,Tabelle1[[Ort]:[RK KLV C üD]],7)),"")</f>
        <v/>
      </c>
      <c r="S38" s="78" t="str">
        <f>IFERROR(tbl_Ferienaufenthalt_SO[[#This Row],[KLV A]]*tbl_Ferienaufenthalt_SO[[#This Row],[KLV A Ansatz]]/60,"")</f>
        <v/>
      </c>
      <c r="T38" s="78" t="str">
        <f>IFERROR(tbl_Ferienaufenthalt_SO[[#This Row],[KLV B]]*tbl_Ferienaufenthalt_SO[[#This Row],[KLV B Ansatz]]/60,"")</f>
        <v/>
      </c>
      <c r="U38" s="78" t="str">
        <f>IFERROR(tbl_Ferienaufenthalt_SO[[#This Row],[KLV C]]*tbl_Ferienaufenthalt_SO[[#This Row],[KLV C Ansatz]]/60,"")</f>
        <v/>
      </c>
      <c r="V38" s="78">
        <f t="shared" si="2"/>
        <v>0</v>
      </c>
      <c r="W38" s="81">
        <f>COUNTIF($H$12:$H38,H38)</f>
        <v>0</v>
      </c>
      <c r="X38" s="189"/>
      <c r="Y38" s="189"/>
    </row>
    <row r="39" spans="1:25" x14ac:dyDescent="0.2">
      <c r="A39" s="17">
        <v>28</v>
      </c>
      <c r="B39" s="189"/>
      <c r="C39" s="189"/>
      <c r="D39" s="190"/>
      <c r="E39" s="191"/>
      <c r="F39" s="190"/>
      <c r="G39" s="189"/>
      <c r="H39" s="189"/>
      <c r="I39" s="189"/>
      <c r="J39" s="189"/>
      <c r="K39" s="189"/>
      <c r="L39" s="189"/>
      <c r="M39" s="189"/>
      <c r="N39" s="189"/>
      <c r="O39" s="15">
        <f t="shared" si="0"/>
        <v>0</v>
      </c>
      <c r="P39" s="77" t="str">
        <f>IFERROR(IF(IFERROR(MATCH($C$4&amp;$I39,Tabelle2[Codierung],0),0)&gt;0,VLOOKUP(I39,Tabelle1[[Ort]:[RK KLV C üD]],2,),VLOOKUP(I39,Tabelle1[[Ort]:[RK KLV C üD]],5)),"")</f>
        <v/>
      </c>
      <c r="Q39" s="77" t="str">
        <f>IFERROR(IF(IFERROR(MATCH($C$4&amp;$I39,Tabelle2[Codierung],0),0)&gt;0,VLOOKUP(I39,Tabelle1[[Ort]:[RK KLV C üD]],3,),VLOOKUP(I39,Tabelle1[[Ort]:[RK KLV C üD]],6)),"")</f>
        <v/>
      </c>
      <c r="R39" s="77" t="str">
        <f>IFERROR(IF(IFERROR(MATCH($C$4&amp;$I39,Tabelle2[Codierung],0),0)&gt;0,VLOOKUP(I39,Tabelle1[[Ort]:[RK KLV C üD]],4,),VLOOKUP(I39,Tabelle1[[Ort]:[RK KLV C üD]],7)),"")</f>
        <v/>
      </c>
      <c r="S39" s="78" t="str">
        <f>IFERROR(tbl_Ferienaufenthalt_SO[[#This Row],[KLV A]]*tbl_Ferienaufenthalt_SO[[#This Row],[KLV A Ansatz]]/60,"")</f>
        <v/>
      </c>
      <c r="T39" s="78" t="str">
        <f>IFERROR(tbl_Ferienaufenthalt_SO[[#This Row],[KLV B]]*tbl_Ferienaufenthalt_SO[[#This Row],[KLV B Ansatz]]/60,"")</f>
        <v/>
      </c>
      <c r="U39" s="78" t="str">
        <f>IFERROR(tbl_Ferienaufenthalt_SO[[#This Row],[KLV C]]*tbl_Ferienaufenthalt_SO[[#This Row],[KLV C Ansatz]]/60,"")</f>
        <v/>
      </c>
      <c r="V39" s="78">
        <f t="shared" si="2"/>
        <v>0</v>
      </c>
      <c r="W39" s="81">
        <f>COUNTIF($H$12:$H39,H39)</f>
        <v>0</v>
      </c>
      <c r="X39" s="189"/>
      <c r="Y39" s="189"/>
    </row>
    <row r="40" spans="1:25" x14ac:dyDescent="0.2">
      <c r="A40" s="17">
        <v>29</v>
      </c>
      <c r="B40" s="189"/>
      <c r="C40" s="189"/>
      <c r="D40" s="190"/>
      <c r="E40" s="191"/>
      <c r="F40" s="190"/>
      <c r="G40" s="189"/>
      <c r="H40" s="189"/>
      <c r="I40" s="189"/>
      <c r="J40" s="189"/>
      <c r="K40" s="189"/>
      <c r="L40" s="189"/>
      <c r="M40" s="189"/>
      <c r="N40" s="189"/>
      <c r="O40" s="15">
        <f t="shared" si="0"/>
        <v>0</v>
      </c>
      <c r="P40" s="77" t="str">
        <f>IFERROR(IF(IFERROR(MATCH($C$4&amp;$I40,Tabelle2[Codierung],0),0)&gt;0,VLOOKUP(I40,Tabelle1[[Ort]:[RK KLV C üD]],2,),VLOOKUP(I40,Tabelle1[[Ort]:[RK KLV C üD]],5)),"")</f>
        <v/>
      </c>
      <c r="Q40" s="77" t="str">
        <f>IFERROR(IF(IFERROR(MATCH($C$4&amp;$I40,Tabelle2[Codierung],0),0)&gt;0,VLOOKUP(I40,Tabelle1[[Ort]:[RK KLV C üD]],3,),VLOOKUP(I40,Tabelle1[[Ort]:[RK KLV C üD]],6)),"")</f>
        <v/>
      </c>
      <c r="R40" s="77" t="str">
        <f>IFERROR(IF(IFERROR(MATCH($C$4&amp;$I40,Tabelle2[Codierung],0),0)&gt;0,VLOOKUP(I40,Tabelle1[[Ort]:[RK KLV C üD]],4,),VLOOKUP(I40,Tabelle1[[Ort]:[RK KLV C üD]],7)),"")</f>
        <v/>
      </c>
      <c r="S40" s="78" t="str">
        <f>IFERROR(tbl_Ferienaufenthalt_SO[[#This Row],[KLV A]]*tbl_Ferienaufenthalt_SO[[#This Row],[KLV A Ansatz]]/60,"")</f>
        <v/>
      </c>
      <c r="T40" s="78" t="str">
        <f>IFERROR(tbl_Ferienaufenthalt_SO[[#This Row],[KLV B]]*tbl_Ferienaufenthalt_SO[[#This Row],[KLV B Ansatz]]/60,"")</f>
        <v/>
      </c>
      <c r="U40" s="78" t="str">
        <f>IFERROR(tbl_Ferienaufenthalt_SO[[#This Row],[KLV C]]*tbl_Ferienaufenthalt_SO[[#This Row],[KLV C Ansatz]]/60,"")</f>
        <v/>
      </c>
      <c r="V40" s="78">
        <f t="shared" si="2"/>
        <v>0</v>
      </c>
      <c r="W40" s="81">
        <f>COUNTIF($H$12:$H40,H40)</f>
        <v>0</v>
      </c>
      <c r="X40" s="189"/>
      <c r="Y40" s="189"/>
    </row>
    <row r="41" spans="1:25" x14ac:dyDescent="0.2">
      <c r="A41" s="17">
        <v>30</v>
      </c>
      <c r="B41" s="189"/>
      <c r="C41" s="189"/>
      <c r="D41" s="190"/>
      <c r="E41" s="191"/>
      <c r="F41" s="190"/>
      <c r="G41" s="189"/>
      <c r="H41" s="189"/>
      <c r="I41" s="189"/>
      <c r="J41" s="189"/>
      <c r="K41" s="189"/>
      <c r="L41" s="189"/>
      <c r="M41" s="189"/>
      <c r="N41" s="189"/>
      <c r="O41" s="15">
        <f t="shared" si="0"/>
        <v>0</v>
      </c>
      <c r="P41" s="77" t="str">
        <f>IFERROR(IF(IFERROR(MATCH($C$4&amp;$I41,Tabelle2[Codierung],0),0)&gt;0,VLOOKUP(I41,Tabelle1[[Ort]:[RK KLV C üD]],2,),VLOOKUP(I41,Tabelle1[[Ort]:[RK KLV C üD]],5)),"")</f>
        <v/>
      </c>
      <c r="Q41" s="77" t="str">
        <f>IFERROR(IF(IFERROR(MATCH($C$4&amp;$I41,Tabelle2[Codierung],0),0)&gt;0,VLOOKUP(I41,Tabelle1[[Ort]:[RK KLV C üD]],3,),VLOOKUP(I41,Tabelle1[[Ort]:[RK KLV C üD]],6)),"")</f>
        <v/>
      </c>
      <c r="R41" s="77" t="str">
        <f>IFERROR(IF(IFERROR(MATCH($C$4&amp;$I41,Tabelle2[Codierung],0),0)&gt;0,VLOOKUP(I41,Tabelle1[[Ort]:[RK KLV C üD]],4,),VLOOKUP(I41,Tabelle1[[Ort]:[RK KLV C üD]],7)),"")</f>
        <v/>
      </c>
      <c r="S41" s="78" t="str">
        <f>IFERROR(tbl_Ferienaufenthalt_SO[[#This Row],[KLV A]]*tbl_Ferienaufenthalt_SO[[#This Row],[KLV A Ansatz]]/60,"")</f>
        <v/>
      </c>
      <c r="T41" s="78" t="str">
        <f>IFERROR(tbl_Ferienaufenthalt_SO[[#This Row],[KLV B]]*tbl_Ferienaufenthalt_SO[[#This Row],[KLV B Ansatz]]/60,"")</f>
        <v/>
      </c>
      <c r="U41" s="78" t="str">
        <f>IFERROR(tbl_Ferienaufenthalt_SO[[#This Row],[KLV C]]*tbl_Ferienaufenthalt_SO[[#This Row],[KLV C Ansatz]]/60,"")</f>
        <v/>
      </c>
      <c r="V41" s="78">
        <f t="shared" si="2"/>
        <v>0</v>
      </c>
      <c r="W41" s="81">
        <f>COUNTIF($H$12:$H41,H41)</f>
        <v>0</v>
      </c>
      <c r="X41" s="189"/>
      <c r="Y41" s="189"/>
    </row>
    <row r="42" spans="1:25" x14ac:dyDescent="0.2">
      <c r="A42" s="17">
        <v>31</v>
      </c>
      <c r="B42" s="189"/>
      <c r="C42" s="189"/>
      <c r="D42" s="190"/>
      <c r="E42" s="191"/>
      <c r="F42" s="190"/>
      <c r="G42" s="189"/>
      <c r="H42" s="189"/>
      <c r="I42" s="189"/>
      <c r="J42" s="189"/>
      <c r="K42" s="189"/>
      <c r="L42" s="189"/>
      <c r="M42" s="189"/>
      <c r="N42" s="189"/>
      <c r="O42" s="15">
        <f t="shared" si="0"/>
        <v>0</v>
      </c>
      <c r="P42" s="77" t="str">
        <f>IFERROR(IF(IFERROR(MATCH($C$4&amp;$I42,Tabelle2[Codierung],0),0)&gt;0,VLOOKUP(I42,Tabelle1[[Ort]:[RK KLV C üD]],2,),VLOOKUP(I42,Tabelle1[[Ort]:[RK KLV C üD]],5)),"")</f>
        <v/>
      </c>
      <c r="Q42" s="77" t="str">
        <f>IFERROR(IF(IFERROR(MATCH($C$4&amp;$I42,Tabelle2[Codierung],0),0)&gt;0,VLOOKUP(I42,Tabelle1[[Ort]:[RK KLV C üD]],3,),VLOOKUP(I42,Tabelle1[[Ort]:[RK KLV C üD]],6)),"")</f>
        <v/>
      </c>
      <c r="R42" s="77" t="str">
        <f>IFERROR(IF(IFERROR(MATCH($C$4&amp;$I42,Tabelle2[Codierung],0),0)&gt;0,VLOOKUP(I42,Tabelle1[[Ort]:[RK KLV C üD]],4,),VLOOKUP(I42,Tabelle1[[Ort]:[RK KLV C üD]],7)),"")</f>
        <v/>
      </c>
      <c r="S42" s="78" t="str">
        <f>IFERROR(tbl_Ferienaufenthalt_SO[[#This Row],[KLV A]]*tbl_Ferienaufenthalt_SO[[#This Row],[KLV A Ansatz]]/60,"")</f>
        <v/>
      </c>
      <c r="T42" s="78" t="str">
        <f>IFERROR(tbl_Ferienaufenthalt_SO[[#This Row],[KLV B]]*tbl_Ferienaufenthalt_SO[[#This Row],[KLV B Ansatz]]/60,"")</f>
        <v/>
      </c>
      <c r="U42" s="78" t="str">
        <f>IFERROR(tbl_Ferienaufenthalt_SO[[#This Row],[KLV C]]*tbl_Ferienaufenthalt_SO[[#This Row],[KLV C Ansatz]]/60,"")</f>
        <v/>
      </c>
      <c r="V42" s="78">
        <f t="shared" si="2"/>
        <v>0</v>
      </c>
      <c r="W42" s="81">
        <f>COUNTIF($H$12:$H42,H42)</f>
        <v>0</v>
      </c>
      <c r="X42" s="189"/>
      <c r="Y42" s="189"/>
    </row>
    <row r="43" spans="1:25" x14ac:dyDescent="0.2">
      <c r="A43" s="17">
        <v>32</v>
      </c>
      <c r="B43" s="189"/>
      <c r="C43" s="189"/>
      <c r="D43" s="190"/>
      <c r="E43" s="191"/>
      <c r="F43" s="190"/>
      <c r="G43" s="189"/>
      <c r="H43" s="189"/>
      <c r="I43" s="189"/>
      <c r="J43" s="189"/>
      <c r="K43" s="189"/>
      <c r="L43" s="189"/>
      <c r="M43" s="189"/>
      <c r="N43" s="189"/>
      <c r="O43" s="15">
        <f t="shared" si="0"/>
        <v>0</v>
      </c>
      <c r="P43" s="77" t="str">
        <f>IFERROR(IF(IFERROR(MATCH($C$4&amp;$I43,Tabelle2[Codierung],0),0)&gt;0,VLOOKUP(I43,Tabelle1[[Ort]:[RK KLV C üD]],2,),VLOOKUP(I43,Tabelle1[[Ort]:[RK KLV C üD]],5)),"")</f>
        <v/>
      </c>
      <c r="Q43" s="77" t="str">
        <f>IFERROR(IF(IFERROR(MATCH($C$4&amp;$I43,Tabelle2[Codierung],0),0)&gt;0,VLOOKUP(I43,Tabelle1[[Ort]:[RK KLV C üD]],3,),VLOOKUP(I43,Tabelle1[[Ort]:[RK KLV C üD]],6)),"")</f>
        <v/>
      </c>
      <c r="R43" s="77" t="str">
        <f>IFERROR(IF(IFERROR(MATCH($C$4&amp;$I43,Tabelle2[Codierung],0),0)&gt;0,VLOOKUP(I43,Tabelle1[[Ort]:[RK KLV C üD]],4,),VLOOKUP(I43,Tabelle1[[Ort]:[RK KLV C üD]],7)),"")</f>
        <v/>
      </c>
      <c r="S43" s="78" t="str">
        <f>IFERROR(tbl_Ferienaufenthalt_SO[[#This Row],[KLV A]]*tbl_Ferienaufenthalt_SO[[#This Row],[KLV A Ansatz]]/60,"")</f>
        <v/>
      </c>
      <c r="T43" s="78" t="str">
        <f>IFERROR(tbl_Ferienaufenthalt_SO[[#This Row],[KLV B]]*tbl_Ferienaufenthalt_SO[[#This Row],[KLV B Ansatz]]/60,"")</f>
        <v/>
      </c>
      <c r="U43" s="78" t="str">
        <f>IFERROR(tbl_Ferienaufenthalt_SO[[#This Row],[KLV C]]*tbl_Ferienaufenthalt_SO[[#This Row],[KLV C Ansatz]]/60,"")</f>
        <v/>
      </c>
      <c r="V43" s="78">
        <f t="shared" si="2"/>
        <v>0</v>
      </c>
      <c r="W43" s="81">
        <f>COUNTIF($H$12:$H43,H43)</f>
        <v>0</v>
      </c>
      <c r="X43" s="189"/>
      <c r="Y43" s="189"/>
    </row>
    <row r="44" spans="1:25" x14ac:dyDescent="0.2">
      <c r="A44" s="17">
        <v>33</v>
      </c>
      <c r="B44" s="189"/>
      <c r="C44" s="189"/>
      <c r="D44" s="190"/>
      <c r="E44" s="191"/>
      <c r="F44" s="190"/>
      <c r="G44" s="189"/>
      <c r="H44" s="189"/>
      <c r="I44" s="189"/>
      <c r="J44" s="189"/>
      <c r="K44" s="189"/>
      <c r="L44" s="189"/>
      <c r="M44" s="189"/>
      <c r="N44" s="189"/>
      <c r="O44" s="15">
        <f t="shared" si="0"/>
        <v>0</v>
      </c>
      <c r="P44" s="77" t="str">
        <f>IFERROR(IF(IFERROR(MATCH($C$4&amp;$I44,Tabelle2[Codierung],0),0)&gt;0,VLOOKUP(I44,Tabelle1[[Ort]:[RK KLV C üD]],2,),VLOOKUP(I44,Tabelle1[[Ort]:[RK KLV C üD]],5)),"")</f>
        <v/>
      </c>
      <c r="Q44" s="77" t="str">
        <f>IFERROR(IF(IFERROR(MATCH($C$4&amp;$I44,Tabelle2[Codierung],0),0)&gt;0,VLOOKUP(I44,Tabelle1[[Ort]:[RK KLV C üD]],3,),VLOOKUP(I44,Tabelle1[[Ort]:[RK KLV C üD]],6)),"")</f>
        <v/>
      </c>
      <c r="R44" s="77" t="str">
        <f>IFERROR(IF(IFERROR(MATCH($C$4&amp;$I44,Tabelle2[Codierung],0),0)&gt;0,VLOOKUP(I44,Tabelle1[[Ort]:[RK KLV C üD]],4,),VLOOKUP(I44,Tabelle1[[Ort]:[RK KLV C üD]],7)),"")</f>
        <v/>
      </c>
      <c r="S44" s="78" t="str">
        <f>IFERROR(tbl_Ferienaufenthalt_SO[[#This Row],[KLV A]]*tbl_Ferienaufenthalt_SO[[#This Row],[KLV A Ansatz]]/60,"")</f>
        <v/>
      </c>
      <c r="T44" s="78" t="str">
        <f>IFERROR(tbl_Ferienaufenthalt_SO[[#This Row],[KLV B]]*tbl_Ferienaufenthalt_SO[[#This Row],[KLV B Ansatz]]/60,"")</f>
        <v/>
      </c>
      <c r="U44" s="78" t="str">
        <f>IFERROR(tbl_Ferienaufenthalt_SO[[#This Row],[KLV C]]*tbl_Ferienaufenthalt_SO[[#This Row],[KLV C Ansatz]]/60,"")</f>
        <v/>
      </c>
      <c r="V44" s="78">
        <f t="shared" si="2"/>
        <v>0</v>
      </c>
      <c r="W44" s="81">
        <f>COUNTIF($H$12:$H44,H44)</f>
        <v>0</v>
      </c>
      <c r="X44" s="189"/>
      <c r="Y44" s="189"/>
    </row>
    <row r="45" spans="1:25" x14ac:dyDescent="0.2">
      <c r="A45" s="17">
        <v>34</v>
      </c>
      <c r="B45" s="189"/>
      <c r="C45" s="189"/>
      <c r="D45" s="190"/>
      <c r="E45" s="191"/>
      <c r="F45" s="190"/>
      <c r="G45" s="189"/>
      <c r="H45" s="189"/>
      <c r="I45" s="189"/>
      <c r="J45" s="189"/>
      <c r="K45" s="189"/>
      <c r="L45" s="189"/>
      <c r="M45" s="189"/>
      <c r="N45" s="189"/>
      <c r="O45" s="15">
        <f t="shared" si="0"/>
        <v>0</v>
      </c>
      <c r="P45" s="77" t="str">
        <f>IFERROR(IF(IFERROR(MATCH($C$4&amp;$I45,Tabelle2[Codierung],0),0)&gt;0,VLOOKUP(I45,Tabelle1[[Ort]:[RK KLV C üD]],2,),VLOOKUP(I45,Tabelle1[[Ort]:[RK KLV C üD]],5)),"")</f>
        <v/>
      </c>
      <c r="Q45" s="77" t="str">
        <f>IFERROR(IF(IFERROR(MATCH($C$4&amp;$I45,Tabelle2[Codierung],0),0)&gt;0,VLOOKUP(I45,Tabelle1[[Ort]:[RK KLV C üD]],3,),VLOOKUP(I45,Tabelle1[[Ort]:[RK KLV C üD]],6)),"")</f>
        <v/>
      </c>
      <c r="R45" s="77" t="str">
        <f>IFERROR(IF(IFERROR(MATCH($C$4&amp;$I45,Tabelle2[Codierung],0),0)&gt;0,VLOOKUP(I45,Tabelle1[[Ort]:[RK KLV C üD]],4,),VLOOKUP(I45,Tabelle1[[Ort]:[RK KLV C üD]],7)),"")</f>
        <v/>
      </c>
      <c r="S45" s="78" t="str">
        <f>IFERROR(tbl_Ferienaufenthalt_SO[[#This Row],[KLV A]]*tbl_Ferienaufenthalt_SO[[#This Row],[KLV A Ansatz]]/60,"")</f>
        <v/>
      </c>
      <c r="T45" s="78" t="str">
        <f>IFERROR(tbl_Ferienaufenthalt_SO[[#This Row],[KLV B]]*tbl_Ferienaufenthalt_SO[[#This Row],[KLV B Ansatz]]/60,"")</f>
        <v/>
      </c>
      <c r="U45" s="78" t="str">
        <f>IFERROR(tbl_Ferienaufenthalt_SO[[#This Row],[KLV C]]*tbl_Ferienaufenthalt_SO[[#This Row],[KLV C Ansatz]]/60,"")</f>
        <v/>
      </c>
      <c r="V45" s="78">
        <f t="shared" si="2"/>
        <v>0</v>
      </c>
      <c r="W45" s="81">
        <f>COUNTIF($H$12:$H45,H45)</f>
        <v>0</v>
      </c>
      <c r="X45" s="189"/>
      <c r="Y45" s="189"/>
    </row>
    <row r="46" spans="1:25" x14ac:dyDescent="0.2">
      <c r="A46" s="17">
        <v>35</v>
      </c>
      <c r="B46" s="189"/>
      <c r="C46" s="189"/>
      <c r="D46" s="190"/>
      <c r="E46" s="191"/>
      <c r="F46" s="190"/>
      <c r="G46" s="189"/>
      <c r="H46" s="189"/>
      <c r="I46" s="189"/>
      <c r="J46" s="189"/>
      <c r="K46" s="189"/>
      <c r="L46" s="189"/>
      <c r="M46" s="189"/>
      <c r="N46" s="189"/>
      <c r="O46" s="15">
        <f t="shared" si="0"/>
        <v>0</v>
      </c>
      <c r="P46" s="77" t="str">
        <f>IFERROR(IF(IFERROR(MATCH($C$4&amp;$I46,Tabelle2[Codierung],0),0)&gt;0,VLOOKUP(I46,Tabelle1[[Ort]:[RK KLV C üD]],2,),VLOOKUP(I46,Tabelle1[[Ort]:[RK KLV C üD]],5)),"")</f>
        <v/>
      </c>
      <c r="Q46" s="77" t="str">
        <f>IFERROR(IF(IFERROR(MATCH($C$4&amp;$I46,Tabelle2[Codierung],0),0)&gt;0,VLOOKUP(I46,Tabelle1[[Ort]:[RK KLV C üD]],3,),VLOOKUP(I46,Tabelle1[[Ort]:[RK KLV C üD]],6)),"")</f>
        <v/>
      </c>
      <c r="R46" s="77" t="str">
        <f>IFERROR(IF(IFERROR(MATCH($C$4&amp;$I46,Tabelle2[Codierung],0),0)&gt;0,VLOOKUP(I46,Tabelle1[[Ort]:[RK KLV C üD]],4,),VLOOKUP(I46,Tabelle1[[Ort]:[RK KLV C üD]],7)),"")</f>
        <v/>
      </c>
      <c r="S46" s="78" t="str">
        <f>IFERROR(tbl_Ferienaufenthalt_SO[[#This Row],[KLV A]]*tbl_Ferienaufenthalt_SO[[#This Row],[KLV A Ansatz]]/60,"")</f>
        <v/>
      </c>
      <c r="T46" s="78" t="str">
        <f>IFERROR(tbl_Ferienaufenthalt_SO[[#This Row],[KLV B]]*tbl_Ferienaufenthalt_SO[[#This Row],[KLV B Ansatz]]/60,"")</f>
        <v/>
      </c>
      <c r="U46" s="78" t="str">
        <f>IFERROR(tbl_Ferienaufenthalt_SO[[#This Row],[KLV C]]*tbl_Ferienaufenthalt_SO[[#This Row],[KLV C Ansatz]]/60,"")</f>
        <v/>
      </c>
      <c r="V46" s="78">
        <f t="shared" si="2"/>
        <v>0</v>
      </c>
      <c r="W46" s="81">
        <f>COUNTIF($H$12:$H46,H46)</f>
        <v>0</v>
      </c>
      <c r="X46" s="189"/>
      <c r="Y46" s="189"/>
    </row>
    <row r="47" spans="1:25" x14ac:dyDescent="0.2">
      <c r="A47" s="17">
        <v>36</v>
      </c>
      <c r="B47" s="189"/>
      <c r="C47" s="189"/>
      <c r="D47" s="190"/>
      <c r="E47" s="191"/>
      <c r="F47" s="190"/>
      <c r="G47" s="189"/>
      <c r="H47" s="189"/>
      <c r="I47" s="189"/>
      <c r="J47" s="189"/>
      <c r="K47" s="189"/>
      <c r="L47" s="189"/>
      <c r="M47" s="189"/>
      <c r="N47" s="189"/>
      <c r="O47" s="15">
        <f t="shared" si="0"/>
        <v>0</v>
      </c>
      <c r="P47" s="77" t="str">
        <f>IFERROR(IF(IFERROR(MATCH($C$4&amp;$I47,Tabelle2[Codierung],0),0)&gt;0,VLOOKUP(I47,Tabelle1[[Ort]:[RK KLV C üD]],2,),VLOOKUP(I47,Tabelle1[[Ort]:[RK KLV C üD]],5)),"")</f>
        <v/>
      </c>
      <c r="Q47" s="77" t="str">
        <f>IFERROR(IF(IFERROR(MATCH($C$4&amp;$I47,Tabelle2[Codierung],0),0)&gt;0,VLOOKUP(I47,Tabelle1[[Ort]:[RK KLV C üD]],3,),VLOOKUP(I47,Tabelle1[[Ort]:[RK KLV C üD]],6)),"")</f>
        <v/>
      </c>
      <c r="R47" s="77" t="str">
        <f>IFERROR(IF(IFERROR(MATCH($C$4&amp;$I47,Tabelle2[Codierung],0),0)&gt;0,VLOOKUP(I47,Tabelle1[[Ort]:[RK KLV C üD]],4,),VLOOKUP(I47,Tabelle1[[Ort]:[RK KLV C üD]],7)),"")</f>
        <v/>
      </c>
      <c r="S47" s="78" t="str">
        <f>IFERROR(tbl_Ferienaufenthalt_SO[[#This Row],[KLV A]]*tbl_Ferienaufenthalt_SO[[#This Row],[KLV A Ansatz]]/60,"")</f>
        <v/>
      </c>
      <c r="T47" s="78" t="str">
        <f>IFERROR(tbl_Ferienaufenthalt_SO[[#This Row],[KLV B]]*tbl_Ferienaufenthalt_SO[[#This Row],[KLV B Ansatz]]/60,"")</f>
        <v/>
      </c>
      <c r="U47" s="78" t="str">
        <f>IFERROR(tbl_Ferienaufenthalt_SO[[#This Row],[KLV C]]*tbl_Ferienaufenthalt_SO[[#This Row],[KLV C Ansatz]]/60,"")</f>
        <v/>
      </c>
      <c r="V47" s="78">
        <f t="shared" si="2"/>
        <v>0</v>
      </c>
      <c r="W47" s="81">
        <f>COUNTIF($H$12:$H47,H47)</f>
        <v>0</v>
      </c>
      <c r="X47" s="189"/>
      <c r="Y47" s="189"/>
    </row>
    <row r="48" spans="1:25" x14ac:dyDescent="0.2">
      <c r="A48" s="17">
        <v>37</v>
      </c>
      <c r="B48" s="189"/>
      <c r="C48" s="189"/>
      <c r="D48" s="190"/>
      <c r="E48" s="191"/>
      <c r="F48" s="190"/>
      <c r="G48" s="189"/>
      <c r="H48" s="189"/>
      <c r="I48" s="189"/>
      <c r="J48" s="189"/>
      <c r="K48" s="189"/>
      <c r="L48" s="189"/>
      <c r="M48" s="189"/>
      <c r="N48" s="189"/>
      <c r="O48" s="15">
        <f t="shared" si="0"/>
        <v>0</v>
      </c>
      <c r="P48" s="77" t="str">
        <f>IFERROR(IF(IFERROR(MATCH($C$4&amp;$I48,Tabelle2[Codierung],0),0)&gt;0,VLOOKUP(I48,Tabelle1[[Ort]:[RK KLV C üD]],2,),VLOOKUP(I48,Tabelle1[[Ort]:[RK KLV C üD]],5)),"")</f>
        <v/>
      </c>
      <c r="Q48" s="77" t="str">
        <f>IFERROR(IF(IFERROR(MATCH($C$4&amp;$I48,Tabelle2[Codierung],0),0)&gt;0,VLOOKUP(I48,Tabelle1[[Ort]:[RK KLV C üD]],3,),VLOOKUP(I48,Tabelle1[[Ort]:[RK KLV C üD]],6)),"")</f>
        <v/>
      </c>
      <c r="R48" s="77" t="str">
        <f>IFERROR(IF(IFERROR(MATCH($C$4&amp;$I48,Tabelle2[Codierung],0),0)&gt;0,VLOOKUP(I48,Tabelle1[[Ort]:[RK KLV C üD]],4,),VLOOKUP(I48,Tabelle1[[Ort]:[RK KLV C üD]],7)),"")</f>
        <v/>
      </c>
      <c r="S48" s="78" t="str">
        <f>IFERROR(tbl_Ferienaufenthalt_SO[[#This Row],[KLV A]]*tbl_Ferienaufenthalt_SO[[#This Row],[KLV A Ansatz]]/60,"")</f>
        <v/>
      </c>
      <c r="T48" s="78" t="str">
        <f>IFERROR(tbl_Ferienaufenthalt_SO[[#This Row],[KLV B]]*tbl_Ferienaufenthalt_SO[[#This Row],[KLV B Ansatz]]/60,"")</f>
        <v/>
      </c>
      <c r="U48" s="78" t="str">
        <f>IFERROR(tbl_Ferienaufenthalt_SO[[#This Row],[KLV C]]*tbl_Ferienaufenthalt_SO[[#This Row],[KLV C Ansatz]]/60,"")</f>
        <v/>
      </c>
      <c r="V48" s="78">
        <f t="shared" si="2"/>
        <v>0</v>
      </c>
      <c r="W48" s="81">
        <f>COUNTIF($H$12:$H48,H48)</f>
        <v>0</v>
      </c>
      <c r="X48" s="189"/>
      <c r="Y48" s="189"/>
    </row>
    <row r="49" spans="1:25" x14ac:dyDescent="0.2">
      <c r="A49" s="17">
        <v>38</v>
      </c>
      <c r="B49" s="189"/>
      <c r="C49" s="189"/>
      <c r="D49" s="190"/>
      <c r="E49" s="191"/>
      <c r="F49" s="190"/>
      <c r="G49" s="189"/>
      <c r="H49" s="189"/>
      <c r="I49" s="189"/>
      <c r="J49" s="189"/>
      <c r="K49" s="189"/>
      <c r="L49" s="189"/>
      <c r="M49" s="189"/>
      <c r="N49" s="189"/>
      <c r="O49" s="15">
        <f t="shared" si="0"/>
        <v>0</v>
      </c>
      <c r="P49" s="77" t="str">
        <f>IFERROR(IF(IFERROR(MATCH($C$4&amp;$I49,Tabelle2[Codierung],0),0)&gt;0,VLOOKUP(I49,Tabelle1[[Ort]:[RK KLV C üD]],2,),VLOOKUP(I49,Tabelle1[[Ort]:[RK KLV C üD]],5)),"")</f>
        <v/>
      </c>
      <c r="Q49" s="77" t="str">
        <f>IFERROR(IF(IFERROR(MATCH($C$4&amp;$I49,Tabelle2[Codierung],0),0)&gt;0,VLOOKUP(I49,Tabelle1[[Ort]:[RK KLV C üD]],3,),VLOOKUP(I49,Tabelle1[[Ort]:[RK KLV C üD]],6)),"")</f>
        <v/>
      </c>
      <c r="R49" s="77" t="str">
        <f>IFERROR(IF(IFERROR(MATCH($C$4&amp;$I49,Tabelle2[Codierung],0),0)&gt;0,VLOOKUP(I49,Tabelle1[[Ort]:[RK KLV C üD]],4,),VLOOKUP(I49,Tabelle1[[Ort]:[RK KLV C üD]],7)),"")</f>
        <v/>
      </c>
      <c r="S49" s="78" t="str">
        <f>IFERROR(tbl_Ferienaufenthalt_SO[[#This Row],[KLV A]]*tbl_Ferienaufenthalt_SO[[#This Row],[KLV A Ansatz]]/60,"")</f>
        <v/>
      </c>
      <c r="T49" s="78" t="str">
        <f>IFERROR(tbl_Ferienaufenthalt_SO[[#This Row],[KLV B]]*tbl_Ferienaufenthalt_SO[[#This Row],[KLV B Ansatz]]/60,"")</f>
        <v/>
      </c>
      <c r="U49" s="78" t="str">
        <f>IFERROR(tbl_Ferienaufenthalt_SO[[#This Row],[KLV C]]*tbl_Ferienaufenthalt_SO[[#This Row],[KLV C Ansatz]]/60,"")</f>
        <v/>
      </c>
      <c r="V49" s="78">
        <f t="shared" si="2"/>
        <v>0</v>
      </c>
      <c r="W49" s="81">
        <f>COUNTIF($H$12:$H49,H49)</f>
        <v>0</v>
      </c>
      <c r="X49" s="189"/>
      <c r="Y49" s="189"/>
    </row>
    <row r="50" spans="1:25" x14ac:dyDescent="0.2">
      <c r="A50" s="17">
        <v>39</v>
      </c>
      <c r="B50" s="189"/>
      <c r="C50" s="189"/>
      <c r="D50" s="190"/>
      <c r="E50" s="191"/>
      <c r="F50" s="190"/>
      <c r="G50" s="189"/>
      <c r="H50" s="189"/>
      <c r="I50" s="189"/>
      <c r="J50" s="189"/>
      <c r="K50" s="189"/>
      <c r="L50" s="189"/>
      <c r="M50" s="189"/>
      <c r="N50" s="189"/>
      <c r="O50" s="15">
        <f t="shared" si="0"/>
        <v>0</v>
      </c>
      <c r="P50" s="77" t="str">
        <f>IFERROR(IF(IFERROR(MATCH($C$4&amp;$I50,Tabelle2[Codierung],0),0)&gt;0,VLOOKUP(I50,Tabelle1[[Ort]:[RK KLV C üD]],2,),VLOOKUP(I50,Tabelle1[[Ort]:[RK KLV C üD]],5)),"")</f>
        <v/>
      </c>
      <c r="Q50" s="77" t="str">
        <f>IFERROR(IF(IFERROR(MATCH($C$4&amp;$I50,Tabelle2[Codierung],0),0)&gt;0,VLOOKUP(I50,Tabelle1[[Ort]:[RK KLV C üD]],3,),VLOOKUP(I50,Tabelle1[[Ort]:[RK KLV C üD]],6)),"")</f>
        <v/>
      </c>
      <c r="R50" s="77" t="str">
        <f>IFERROR(IF(IFERROR(MATCH($C$4&amp;$I50,Tabelle2[Codierung],0),0)&gt;0,VLOOKUP(I50,Tabelle1[[Ort]:[RK KLV C üD]],4,),VLOOKUP(I50,Tabelle1[[Ort]:[RK KLV C üD]],7)),"")</f>
        <v/>
      </c>
      <c r="S50" s="78" t="str">
        <f>IFERROR(tbl_Ferienaufenthalt_SO[[#This Row],[KLV A]]*tbl_Ferienaufenthalt_SO[[#This Row],[KLV A Ansatz]]/60,"")</f>
        <v/>
      </c>
      <c r="T50" s="78" t="str">
        <f>IFERROR(tbl_Ferienaufenthalt_SO[[#This Row],[KLV B]]*tbl_Ferienaufenthalt_SO[[#This Row],[KLV B Ansatz]]/60,"")</f>
        <v/>
      </c>
      <c r="U50" s="78" t="str">
        <f>IFERROR(tbl_Ferienaufenthalt_SO[[#This Row],[KLV C]]*tbl_Ferienaufenthalt_SO[[#This Row],[KLV C Ansatz]]/60,"")</f>
        <v/>
      </c>
      <c r="V50" s="78">
        <f t="shared" si="2"/>
        <v>0</v>
      </c>
      <c r="W50" s="81">
        <f>COUNTIF($H$12:$H50,H50)</f>
        <v>0</v>
      </c>
      <c r="X50" s="189"/>
      <c r="Y50" s="189"/>
    </row>
    <row r="51" spans="1:25" x14ac:dyDescent="0.2">
      <c r="A51" s="17">
        <v>40</v>
      </c>
      <c r="B51" s="189"/>
      <c r="C51" s="189"/>
      <c r="D51" s="190"/>
      <c r="E51" s="191"/>
      <c r="F51" s="190"/>
      <c r="G51" s="189"/>
      <c r="H51" s="189"/>
      <c r="I51" s="189"/>
      <c r="J51" s="189"/>
      <c r="K51" s="189"/>
      <c r="L51" s="189"/>
      <c r="M51" s="189"/>
      <c r="N51" s="189"/>
      <c r="O51" s="15">
        <f t="shared" si="0"/>
        <v>0</v>
      </c>
      <c r="P51" s="77" t="str">
        <f>IFERROR(IF(IFERROR(MATCH($C$4&amp;$I51,Tabelle2[Codierung],0),0)&gt;0,VLOOKUP(I51,Tabelle1[[Ort]:[RK KLV C üD]],2,),VLOOKUP(I51,Tabelle1[[Ort]:[RK KLV C üD]],5)),"")</f>
        <v/>
      </c>
      <c r="Q51" s="77" t="str">
        <f>IFERROR(IF(IFERROR(MATCH($C$4&amp;$I51,Tabelle2[Codierung],0),0)&gt;0,VLOOKUP(I51,Tabelle1[[Ort]:[RK KLV C üD]],3,),VLOOKUP(I51,Tabelle1[[Ort]:[RK KLV C üD]],6)),"")</f>
        <v/>
      </c>
      <c r="R51" s="77" t="str">
        <f>IFERROR(IF(IFERROR(MATCH($C$4&amp;$I51,Tabelle2[Codierung],0),0)&gt;0,VLOOKUP(I51,Tabelle1[[Ort]:[RK KLV C üD]],4,),VLOOKUP(I51,Tabelle1[[Ort]:[RK KLV C üD]],7)),"")</f>
        <v/>
      </c>
      <c r="S51" s="78" t="str">
        <f>IFERROR(tbl_Ferienaufenthalt_SO[[#This Row],[KLV A]]*tbl_Ferienaufenthalt_SO[[#This Row],[KLV A Ansatz]]/60,"")</f>
        <v/>
      </c>
      <c r="T51" s="78" t="str">
        <f>IFERROR(tbl_Ferienaufenthalt_SO[[#This Row],[KLV B]]*tbl_Ferienaufenthalt_SO[[#This Row],[KLV B Ansatz]]/60,"")</f>
        <v/>
      </c>
      <c r="U51" s="78" t="str">
        <f>IFERROR(tbl_Ferienaufenthalt_SO[[#This Row],[KLV C]]*tbl_Ferienaufenthalt_SO[[#This Row],[KLV C Ansatz]]/60,"")</f>
        <v/>
      </c>
      <c r="V51" s="78">
        <f t="shared" si="2"/>
        <v>0</v>
      </c>
      <c r="W51" s="81">
        <f>COUNTIF($H$12:$H51,H51)</f>
        <v>0</v>
      </c>
      <c r="X51" s="189"/>
      <c r="Y51" s="189"/>
    </row>
    <row r="52" spans="1:25" x14ac:dyDescent="0.2">
      <c r="A52" s="17">
        <v>41</v>
      </c>
      <c r="B52" s="189"/>
      <c r="C52" s="189"/>
      <c r="D52" s="190"/>
      <c r="E52" s="191"/>
      <c r="F52" s="190"/>
      <c r="G52" s="189"/>
      <c r="H52" s="189"/>
      <c r="I52" s="189"/>
      <c r="J52" s="189"/>
      <c r="K52" s="189"/>
      <c r="L52" s="189"/>
      <c r="M52" s="189"/>
      <c r="N52" s="189"/>
      <c r="O52" s="15">
        <f t="shared" si="0"/>
        <v>0</v>
      </c>
      <c r="P52" s="77" t="str">
        <f>IFERROR(IF(IFERROR(MATCH($C$4&amp;$I52,Tabelle2[Codierung],0),0)&gt;0,VLOOKUP(I52,Tabelle1[[Ort]:[RK KLV C üD]],2,),VLOOKUP(I52,Tabelle1[[Ort]:[RK KLV C üD]],5)),"")</f>
        <v/>
      </c>
      <c r="Q52" s="77" t="str">
        <f>IFERROR(IF(IFERROR(MATCH($C$4&amp;$I52,Tabelle2[Codierung],0),0)&gt;0,VLOOKUP(I52,Tabelle1[[Ort]:[RK KLV C üD]],3,),VLOOKUP(I52,Tabelle1[[Ort]:[RK KLV C üD]],6)),"")</f>
        <v/>
      </c>
      <c r="R52" s="77" t="str">
        <f>IFERROR(IF(IFERROR(MATCH($C$4&amp;$I52,Tabelle2[Codierung],0),0)&gt;0,VLOOKUP(I52,Tabelle1[[Ort]:[RK KLV C üD]],4,),VLOOKUP(I52,Tabelle1[[Ort]:[RK KLV C üD]],7)),"")</f>
        <v/>
      </c>
      <c r="S52" s="78" t="str">
        <f>IFERROR(tbl_Ferienaufenthalt_SO[[#This Row],[KLV A]]*tbl_Ferienaufenthalt_SO[[#This Row],[KLV A Ansatz]]/60,"")</f>
        <v/>
      </c>
      <c r="T52" s="78" t="str">
        <f>IFERROR(tbl_Ferienaufenthalt_SO[[#This Row],[KLV B]]*tbl_Ferienaufenthalt_SO[[#This Row],[KLV B Ansatz]]/60,"")</f>
        <v/>
      </c>
      <c r="U52" s="78" t="str">
        <f>IFERROR(tbl_Ferienaufenthalt_SO[[#This Row],[KLV C]]*tbl_Ferienaufenthalt_SO[[#This Row],[KLV C Ansatz]]/60,"")</f>
        <v/>
      </c>
      <c r="V52" s="78">
        <f t="shared" si="2"/>
        <v>0</v>
      </c>
      <c r="W52" s="81">
        <f>COUNTIF($H$12:$H52,H52)</f>
        <v>0</v>
      </c>
      <c r="X52" s="189"/>
      <c r="Y52" s="189"/>
    </row>
    <row r="53" spans="1:25" x14ac:dyDescent="0.2">
      <c r="A53" s="17">
        <v>42</v>
      </c>
      <c r="B53" s="189"/>
      <c r="C53" s="189"/>
      <c r="D53" s="190"/>
      <c r="E53" s="191"/>
      <c r="F53" s="190"/>
      <c r="G53" s="189"/>
      <c r="H53" s="189"/>
      <c r="I53" s="189"/>
      <c r="J53" s="189"/>
      <c r="K53" s="189"/>
      <c r="L53" s="189"/>
      <c r="M53" s="189"/>
      <c r="N53" s="189"/>
      <c r="O53" s="15">
        <f t="shared" si="0"/>
        <v>0</v>
      </c>
      <c r="P53" s="77" t="str">
        <f>IFERROR(IF(IFERROR(MATCH($C$4&amp;$I53,Tabelle2[Codierung],0),0)&gt;0,VLOOKUP(I53,Tabelle1[[Ort]:[RK KLV C üD]],2,),VLOOKUP(I53,Tabelle1[[Ort]:[RK KLV C üD]],5)),"")</f>
        <v/>
      </c>
      <c r="Q53" s="77" t="str">
        <f>IFERROR(IF(IFERROR(MATCH($C$4&amp;$I53,Tabelle2[Codierung],0),0)&gt;0,VLOOKUP(I53,Tabelle1[[Ort]:[RK KLV C üD]],3,),VLOOKUP(I53,Tabelle1[[Ort]:[RK KLV C üD]],6)),"")</f>
        <v/>
      </c>
      <c r="R53" s="77" t="str">
        <f>IFERROR(IF(IFERROR(MATCH($C$4&amp;$I53,Tabelle2[Codierung],0),0)&gt;0,VLOOKUP(I53,Tabelle1[[Ort]:[RK KLV C üD]],4,),VLOOKUP(I53,Tabelle1[[Ort]:[RK KLV C üD]],7)),"")</f>
        <v/>
      </c>
      <c r="S53" s="78" t="str">
        <f>IFERROR(tbl_Ferienaufenthalt_SO[[#This Row],[KLV A]]*tbl_Ferienaufenthalt_SO[[#This Row],[KLV A Ansatz]]/60,"")</f>
        <v/>
      </c>
      <c r="T53" s="78" t="str">
        <f>IFERROR(tbl_Ferienaufenthalt_SO[[#This Row],[KLV B]]*tbl_Ferienaufenthalt_SO[[#This Row],[KLV B Ansatz]]/60,"")</f>
        <v/>
      </c>
      <c r="U53" s="78" t="str">
        <f>IFERROR(tbl_Ferienaufenthalt_SO[[#This Row],[KLV C]]*tbl_Ferienaufenthalt_SO[[#This Row],[KLV C Ansatz]]/60,"")</f>
        <v/>
      </c>
      <c r="V53" s="78">
        <f t="shared" si="2"/>
        <v>0</v>
      </c>
      <c r="W53" s="81">
        <f>COUNTIF($H$12:$H53,H53)</f>
        <v>0</v>
      </c>
      <c r="X53" s="189"/>
      <c r="Y53" s="189"/>
    </row>
    <row r="54" spans="1:25" x14ac:dyDescent="0.2">
      <c r="A54" s="17">
        <v>43</v>
      </c>
      <c r="B54" s="189"/>
      <c r="C54" s="189"/>
      <c r="D54" s="190"/>
      <c r="E54" s="191"/>
      <c r="F54" s="190"/>
      <c r="G54" s="189"/>
      <c r="H54" s="189"/>
      <c r="I54" s="189"/>
      <c r="J54" s="189"/>
      <c r="K54" s="189"/>
      <c r="L54" s="189"/>
      <c r="M54" s="189"/>
      <c r="N54" s="189"/>
      <c r="O54" s="15">
        <f t="shared" si="0"/>
        <v>0</v>
      </c>
      <c r="P54" s="77" t="str">
        <f>IFERROR(IF(IFERROR(MATCH($C$4&amp;$I54,Tabelle2[Codierung],0),0)&gt;0,VLOOKUP(I54,Tabelle1[[Ort]:[RK KLV C üD]],2,),VLOOKUP(I54,Tabelle1[[Ort]:[RK KLV C üD]],5)),"")</f>
        <v/>
      </c>
      <c r="Q54" s="77" t="str">
        <f>IFERROR(IF(IFERROR(MATCH($C$4&amp;$I54,Tabelle2[Codierung],0),0)&gt;0,VLOOKUP(I54,Tabelle1[[Ort]:[RK KLV C üD]],3,),VLOOKUP(I54,Tabelle1[[Ort]:[RK KLV C üD]],6)),"")</f>
        <v/>
      </c>
      <c r="R54" s="77" t="str">
        <f>IFERROR(IF(IFERROR(MATCH($C$4&amp;$I54,Tabelle2[Codierung],0),0)&gt;0,VLOOKUP(I54,Tabelle1[[Ort]:[RK KLV C üD]],4,),VLOOKUP(I54,Tabelle1[[Ort]:[RK KLV C üD]],7)),"")</f>
        <v/>
      </c>
      <c r="S54" s="78" t="str">
        <f>IFERROR(tbl_Ferienaufenthalt_SO[[#This Row],[KLV A]]*tbl_Ferienaufenthalt_SO[[#This Row],[KLV A Ansatz]]/60,"")</f>
        <v/>
      </c>
      <c r="T54" s="78" t="str">
        <f>IFERROR(tbl_Ferienaufenthalt_SO[[#This Row],[KLV B]]*tbl_Ferienaufenthalt_SO[[#This Row],[KLV B Ansatz]]/60,"")</f>
        <v/>
      </c>
      <c r="U54" s="78" t="str">
        <f>IFERROR(tbl_Ferienaufenthalt_SO[[#This Row],[KLV C]]*tbl_Ferienaufenthalt_SO[[#This Row],[KLV C Ansatz]]/60,"")</f>
        <v/>
      </c>
      <c r="V54" s="78">
        <f t="shared" si="2"/>
        <v>0</v>
      </c>
      <c r="W54" s="81">
        <f>COUNTIF($H$12:$H54,H54)</f>
        <v>0</v>
      </c>
      <c r="X54" s="189"/>
      <c r="Y54" s="189"/>
    </row>
    <row r="55" spans="1:25" x14ac:dyDescent="0.2">
      <c r="A55" s="17">
        <v>44</v>
      </c>
      <c r="B55" s="189"/>
      <c r="C55" s="189"/>
      <c r="D55" s="190"/>
      <c r="E55" s="191"/>
      <c r="F55" s="190"/>
      <c r="G55" s="189"/>
      <c r="H55" s="189"/>
      <c r="I55" s="189"/>
      <c r="J55" s="189"/>
      <c r="K55" s="189"/>
      <c r="L55" s="189"/>
      <c r="M55" s="189"/>
      <c r="N55" s="189"/>
      <c r="O55" s="15">
        <f t="shared" si="0"/>
        <v>0</v>
      </c>
      <c r="P55" s="77" t="str">
        <f>IFERROR(IF(IFERROR(MATCH($C$4&amp;$I55,Tabelle2[Codierung],0),0)&gt;0,VLOOKUP(I55,Tabelle1[[Ort]:[RK KLV C üD]],2,),VLOOKUP(I55,Tabelle1[[Ort]:[RK KLV C üD]],5)),"")</f>
        <v/>
      </c>
      <c r="Q55" s="77" t="str">
        <f>IFERROR(IF(IFERROR(MATCH($C$4&amp;$I55,Tabelle2[Codierung],0),0)&gt;0,VLOOKUP(I55,Tabelle1[[Ort]:[RK KLV C üD]],3,),VLOOKUP(I55,Tabelle1[[Ort]:[RK KLV C üD]],6)),"")</f>
        <v/>
      </c>
      <c r="R55" s="77" t="str">
        <f>IFERROR(IF(IFERROR(MATCH($C$4&amp;$I55,Tabelle2[Codierung],0),0)&gt;0,VLOOKUP(I55,Tabelle1[[Ort]:[RK KLV C üD]],4,),VLOOKUP(I55,Tabelle1[[Ort]:[RK KLV C üD]],7)),"")</f>
        <v/>
      </c>
      <c r="S55" s="78" t="str">
        <f>IFERROR(tbl_Ferienaufenthalt_SO[[#This Row],[KLV A]]*tbl_Ferienaufenthalt_SO[[#This Row],[KLV A Ansatz]]/60,"")</f>
        <v/>
      </c>
      <c r="T55" s="78" t="str">
        <f>IFERROR(tbl_Ferienaufenthalt_SO[[#This Row],[KLV B]]*tbl_Ferienaufenthalt_SO[[#This Row],[KLV B Ansatz]]/60,"")</f>
        <v/>
      </c>
      <c r="U55" s="78" t="str">
        <f>IFERROR(tbl_Ferienaufenthalt_SO[[#This Row],[KLV C]]*tbl_Ferienaufenthalt_SO[[#This Row],[KLV C Ansatz]]/60,"")</f>
        <v/>
      </c>
      <c r="V55" s="78">
        <f t="shared" si="2"/>
        <v>0</v>
      </c>
      <c r="W55" s="81">
        <f>COUNTIF($H$12:$H55,H55)</f>
        <v>0</v>
      </c>
      <c r="X55" s="189"/>
      <c r="Y55" s="189"/>
    </row>
    <row r="56" spans="1:25" x14ac:dyDescent="0.2">
      <c r="A56" s="17">
        <v>45</v>
      </c>
      <c r="B56" s="189"/>
      <c r="C56" s="189"/>
      <c r="D56" s="190"/>
      <c r="E56" s="191"/>
      <c r="F56" s="190"/>
      <c r="G56" s="189"/>
      <c r="H56" s="189"/>
      <c r="I56" s="189"/>
      <c r="J56" s="189"/>
      <c r="K56" s="189"/>
      <c r="L56" s="189"/>
      <c r="M56" s="189"/>
      <c r="N56" s="189"/>
      <c r="O56" s="15">
        <f t="shared" si="0"/>
        <v>0</v>
      </c>
      <c r="P56" s="77" t="str">
        <f>IFERROR(IF(IFERROR(MATCH($C$4&amp;$I56,Tabelle2[Codierung],0),0)&gt;0,VLOOKUP(I56,Tabelle1[[Ort]:[RK KLV C üD]],2,),VLOOKUP(I56,Tabelle1[[Ort]:[RK KLV C üD]],5)),"")</f>
        <v/>
      </c>
      <c r="Q56" s="77" t="str">
        <f>IFERROR(IF(IFERROR(MATCH($C$4&amp;$I56,Tabelle2[Codierung],0),0)&gt;0,VLOOKUP(I56,Tabelle1[[Ort]:[RK KLV C üD]],3,),VLOOKUP(I56,Tabelle1[[Ort]:[RK KLV C üD]],6)),"")</f>
        <v/>
      </c>
      <c r="R56" s="77" t="str">
        <f>IFERROR(IF(IFERROR(MATCH($C$4&amp;$I56,Tabelle2[Codierung],0),0)&gt;0,VLOOKUP(I56,Tabelle1[[Ort]:[RK KLV C üD]],4,),VLOOKUP(I56,Tabelle1[[Ort]:[RK KLV C üD]],7)),"")</f>
        <v/>
      </c>
      <c r="S56" s="78" t="str">
        <f>IFERROR(tbl_Ferienaufenthalt_SO[[#This Row],[KLV A]]*tbl_Ferienaufenthalt_SO[[#This Row],[KLV A Ansatz]]/60,"")</f>
        <v/>
      </c>
      <c r="T56" s="78" t="str">
        <f>IFERROR(tbl_Ferienaufenthalt_SO[[#This Row],[KLV B]]*tbl_Ferienaufenthalt_SO[[#This Row],[KLV B Ansatz]]/60,"")</f>
        <v/>
      </c>
      <c r="U56" s="78" t="str">
        <f>IFERROR(tbl_Ferienaufenthalt_SO[[#This Row],[KLV C]]*tbl_Ferienaufenthalt_SO[[#This Row],[KLV C Ansatz]]/60,"")</f>
        <v/>
      </c>
      <c r="V56" s="78">
        <f t="shared" si="2"/>
        <v>0</v>
      </c>
      <c r="W56" s="81">
        <f>COUNTIF($H$12:$H56,H56)</f>
        <v>0</v>
      </c>
      <c r="X56" s="189"/>
      <c r="Y56" s="189"/>
    </row>
    <row r="57" spans="1:25" x14ac:dyDescent="0.2">
      <c r="A57" s="17">
        <v>46</v>
      </c>
      <c r="B57" s="189"/>
      <c r="C57" s="189"/>
      <c r="D57" s="190"/>
      <c r="E57" s="191"/>
      <c r="F57" s="190"/>
      <c r="G57" s="189"/>
      <c r="H57" s="189"/>
      <c r="I57" s="189"/>
      <c r="J57" s="189"/>
      <c r="K57" s="189"/>
      <c r="L57" s="189"/>
      <c r="M57" s="189"/>
      <c r="N57" s="189"/>
      <c r="O57" s="15">
        <f t="shared" si="0"/>
        <v>0</v>
      </c>
      <c r="P57" s="77" t="str">
        <f>IFERROR(IF(IFERROR(MATCH($C$4&amp;$I57,Tabelle2[Codierung],0),0)&gt;0,VLOOKUP(I57,Tabelle1[[Ort]:[RK KLV C üD]],2,),VLOOKUP(I57,Tabelle1[[Ort]:[RK KLV C üD]],5)),"")</f>
        <v/>
      </c>
      <c r="Q57" s="77" t="str">
        <f>IFERROR(IF(IFERROR(MATCH($C$4&amp;$I57,Tabelle2[Codierung],0),0)&gt;0,VLOOKUP(I57,Tabelle1[[Ort]:[RK KLV C üD]],3,),VLOOKUP(I57,Tabelle1[[Ort]:[RK KLV C üD]],6)),"")</f>
        <v/>
      </c>
      <c r="R57" s="77" t="str">
        <f>IFERROR(IF(IFERROR(MATCH($C$4&amp;$I57,Tabelle2[Codierung],0),0)&gt;0,VLOOKUP(I57,Tabelle1[[Ort]:[RK KLV C üD]],4,),VLOOKUP(I57,Tabelle1[[Ort]:[RK KLV C üD]],7)),"")</f>
        <v/>
      </c>
      <c r="S57" s="78" t="str">
        <f>IFERROR(tbl_Ferienaufenthalt_SO[[#This Row],[KLV A]]*tbl_Ferienaufenthalt_SO[[#This Row],[KLV A Ansatz]]/60,"")</f>
        <v/>
      </c>
      <c r="T57" s="78" t="str">
        <f>IFERROR(tbl_Ferienaufenthalt_SO[[#This Row],[KLV B]]*tbl_Ferienaufenthalt_SO[[#This Row],[KLV B Ansatz]]/60,"")</f>
        <v/>
      </c>
      <c r="U57" s="78" t="str">
        <f>IFERROR(tbl_Ferienaufenthalt_SO[[#This Row],[KLV C]]*tbl_Ferienaufenthalt_SO[[#This Row],[KLV C Ansatz]]/60,"")</f>
        <v/>
      </c>
      <c r="V57" s="78">
        <f t="shared" si="2"/>
        <v>0</v>
      </c>
      <c r="W57" s="81">
        <f>COUNTIF($H$12:$H57,H57)</f>
        <v>0</v>
      </c>
      <c r="X57" s="189"/>
      <c r="Y57" s="189"/>
    </row>
    <row r="58" spans="1:25" x14ac:dyDescent="0.2">
      <c r="A58" s="17">
        <v>47</v>
      </c>
      <c r="B58" s="189"/>
      <c r="C58" s="189"/>
      <c r="D58" s="190"/>
      <c r="E58" s="191"/>
      <c r="F58" s="190"/>
      <c r="G58" s="189"/>
      <c r="H58" s="189"/>
      <c r="I58" s="189"/>
      <c r="J58" s="189"/>
      <c r="K58" s="189"/>
      <c r="L58" s="189"/>
      <c r="M58" s="189"/>
      <c r="N58" s="189"/>
      <c r="O58" s="15">
        <f t="shared" si="0"/>
        <v>0</v>
      </c>
      <c r="P58" s="77" t="str">
        <f>IFERROR(IF(IFERROR(MATCH($C$4&amp;$I58,Tabelle2[Codierung],0),0)&gt;0,VLOOKUP(I58,Tabelle1[[Ort]:[RK KLV C üD]],2,),VLOOKUP(I58,Tabelle1[[Ort]:[RK KLV C üD]],5)),"")</f>
        <v/>
      </c>
      <c r="Q58" s="77" t="str">
        <f>IFERROR(IF(IFERROR(MATCH($C$4&amp;$I58,Tabelle2[Codierung],0),0)&gt;0,VLOOKUP(I58,Tabelle1[[Ort]:[RK KLV C üD]],3,),VLOOKUP(I58,Tabelle1[[Ort]:[RK KLV C üD]],6)),"")</f>
        <v/>
      </c>
      <c r="R58" s="77" t="str">
        <f>IFERROR(IF(IFERROR(MATCH($C$4&amp;$I58,Tabelle2[Codierung],0),0)&gt;0,VLOOKUP(I58,Tabelle1[[Ort]:[RK KLV C üD]],4,),VLOOKUP(I58,Tabelle1[[Ort]:[RK KLV C üD]],7)),"")</f>
        <v/>
      </c>
      <c r="S58" s="78" t="str">
        <f>IFERROR(tbl_Ferienaufenthalt_SO[[#This Row],[KLV A]]*tbl_Ferienaufenthalt_SO[[#This Row],[KLV A Ansatz]]/60,"")</f>
        <v/>
      </c>
      <c r="T58" s="78" t="str">
        <f>IFERROR(tbl_Ferienaufenthalt_SO[[#This Row],[KLV B]]*tbl_Ferienaufenthalt_SO[[#This Row],[KLV B Ansatz]]/60,"")</f>
        <v/>
      </c>
      <c r="U58" s="78" t="str">
        <f>IFERROR(tbl_Ferienaufenthalt_SO[[#This Row],[KLV C]]*tbl_Ferienaufenthalt_SO[[#This Row],[KLV C Ansatz]]/60,"")</f>
        <v/>
      </c>
      <c r="V58" s="78">
        <f t="shared" si="2"/>
        <v>0</v>
      </c>
      <c r="W58" s="81">
        <f>COUNTIF($H$12:$H58,H58)</f>
        <v>0</v>
      </c>
      <c r="X58" s="189"/>
      <c r="Y58" s="189"/>
    </row>
    <row r="59" spans="1:25" x14ac:dyDescent="0.2">
      <c r="A59" s="17">
        <v>48</v>
      </c>
      <c r="B59" s="189"/>
      <c r="C59" s="189"/>
      <c r="D59" s="190"/>
      <c r="E59" s="191"/>
      <c r="F59" s="190"/>
      <c r="G59" s="189"/>
      <c r="H59" s="189"/>
      <c r="I59" s="189"/>
      <c r="J59" s="189"/>
      <c r="K59" s="189"/>
      <c r="L59" s="189"/>
      <c r="M59" s="189"/>
      <c r="N59" s="189"/>
      <c r="O59" s="15">
        <f t="shared" si="0"/>
        <v>0</v>
      </c>
      <c r="P59" s="77" t="str">
        <f>IFERROR(IF(IFERROR(MATCH($C$4&amp;$I59,Tabelle2[Codierung],0),0)&gt;0,VLOOKUP(I59,Tabelle1[[Ort]:[RK KLV C üD]],2,),VLOOKUP(I59,Tabelle1[[Ort]:[RK KLV C üD]],5)),"")</f>
        <v/>
      </c>
      <c r="Q59" s="77" t="str">
        <f>IFERROR(IF(IFERROR(MATCH($C$4&amp;$I59,Tabelle2[Codierung],0),0)&gt;0,VLOOKUP(I59,Tabelle1[[Ort]:[RK KLV C üD]],3,),VLOOKUP(I59,Tabelle1[[Ort]:[RK KLV C üD]],6)),"")</f>
        <v/>
      </c>
      <c r="R59" s="77" t="str">
        <f>IFERROR(IF(IFERROR(MATCH($C$4&amp;$I59,Tabelle2[Codierung],0),0)&gt;0,VLOOKUP(I59,Tabelle1[[Ort]:[RK KLV C üD]],4,),VLOOKUP(I59,Tabelle1[[Ort]:[RK KLV C üD]],7)),"")</f>
        <v/>
      </c>
      <c r="S59" s="78" t="str">
        <f>IFERROR(tbl_Ferienaufenthalt_SO[[#This Row],[KLV A]]*tbl_Ferienaufenthalt_SO[[#This Row],[KLV A Ansatz]]/60,"")</f>
        <v/>
      </c>
      <c r="T59" s="78" t="str">
        <f>IFERROR(tbl_Ferienaufenthalt_SO[[#This Row],[KLV B]]*tbl_Ferienaufenthalt_SO[[#This Row],[KLV B Ansatz]]/60,"")</f>
        <v/>
      </c>
      <c r="U59" s="78" t="str">
        <f>IFERROR(tbl_Ferienaufenthalt_SO[[#This Row],[KLV C]]*tbl_Ferienaufenthalt_SO[[#This Row],[KLV C Ansatz]]/60,"")</f>
        <v/>
      </c>
      <c r="V59" s="78">
        <f t="shared" si="2"/>
        <v>0</v>
      </c>
      <c r="W59" s="81">
        <f>COUNTIF($H$12:$H59,H59)</f>
        <v>0</v>
      </c>
      <c r="X59" s="189"/>
      <c r="Y59" s="189"/>
    </row>
    <row r="60" spans="1:25" x14ac:dyDescent="0.2">
      <c r="A60" s="17">
        <v>49</v>
      </c>
      <c r="B60" s="189"/>
      <c r="C60" s="189"/>
      <c r="D60" s="190"/>
      <c r="E60" s="191"/>
      <c r="F60" s="190"/>
      <c r="G60" s="189"/>
      <c r="H60" s="189"/>
      <c r="I60" s="189"/>
      <c r="J60" s="189"/>
      <c r="K60" s="189"/>
      <c r="L60" s="189"/>
      <c r="M60" s="189"/>
      <c r="N60" s="189"/>
      <c r="O60" s="15">
        <f t="shared" si="0"/>
        <v>0</v>
      </c>
      <c r="P60" s="77" t="str">
        <f>IFERROR(IF(IFERROR(MATCH($C$4&amp;$I60,Tabelle2[Codierung],0),0)&gt;0,VLOOKUP(I60,Tabelle1[[Ort]:[RK KLV C üD]],2,),VLOOKUP(I60,Tabelle1[[Ort]:[RK KLV C üD]],5)),"")</f>
        <v/>
      </c>
      <c r="Q60" s="77" t="str">
        <f>IFERROR(IF(IFERROR(MATCH($C$4&amp;$I60,Tabelle2[Codierung],0),0)&gt;0,VLOOKUP(I60,Tabelle1[[Ort]:[RK KLV C üD]],3,),VLOOKUP(I60,Tabelle1[[Ort]:[RK KLV C üD]],6)),"")</f>
        <v/>
      </c>
      <c r="R60" s="77" t="str">
        <f>IFERROR(IF(IFERROR(MATCH($C$4&amp;$I60,Tabelle2[Codierung],0),0)&gt;0,VLOOKUP(I60,Tabelle1[[Ort]:[RK KLV C üD]],4,),VLOOKUP(I60,Tabelle1[[Ort]:[RK KLV C üD]],7)),"")</f>
        <v/>
      </c>
      <c r="S60" s="78" t="str">
        <f>IFERROR(tbl_Ferienaufenthalt_SO[[#This Row],[KLV A]]*tbl_Ferienaufenthalt_SO[[#This Row],[KLV A Ansatz]]/60,"")</f>
        <v/>
      </c>
      <c r="T60" s="78" t="str">
        <f>IFERROR(tbl_Ferienaufenthalt_SO[[#This Row],[KLV B]]*tbl_Ferienaufenthalt_SO[[#This Row],[KLV B Ansatz]]/60,"")</f>
        <v/>
      </c>
      <c r="U60" s="78" t="str">
        <f>IFERROR(tbl_Ferienaufenthalt_SO[[#This Row],[KLV C]]*tbl_Ferienaufenthalt_SO[[#This Row],[KLV C Ansatz]]/60,"")</f>
        <v/>
      </c>
      <c r="V60" s="78">
        <f t="shared" si="2"/>
        <v>0</v>
      </c>
      <c r="W60" s="81">
        <f>COUNTIF($H$12:$H60,H60)</f>
        <v>0</v>
      </c>
      <c r="X60" s="189"/>
      <c r="Y60" s="189"/>
    </row>
    <row r="61" spans="1:25" x14ac:dyDescent="0.2">
      <c r="A61" s="80">
        <v>50</v>
      </c>
      <c r="B61" s="199"/>
      <c r="C61" s="199"/>
      <c r="D61" s="200"/>
      <c r="E61" s="201"/>
      <c r="F61" s="200"/>
      <c r="G61" s="199"/>
      <c r="H61" s="199"/>
      <c r="I61" s="199"/>
      <c r="J61" s="199"/>
      <c r="K61" s="189"/>
      <c r="L61" s="189"/>
      <c r="M61" s="189"/>
      <c r="N61" s="189"/>
      <c r="O61" s="15">
        <f t="shared" si="0"/>
        <v>0</v>
      </c>
      <c r="P61" s="77" t="str">
        <f>IFERROR(IF(IFERROR(MATCH($C$4&amp;$I61,Tabelle2[Codierung],0),0)&gt;0,VLOOKUP(I61,Tabelle1[[Ort]:[RK KLV C üD]],2,),VLOOKUP(I61,Tabelle1[[Ort]:[RK KLV C üD]],5)),"")</f>
        <v/>
      </c>
      <c r="Q61" s="77" t="str">
        <f>IFERROR(IF(IFERROR(MATCH($C$4&amp;$I61,Tabelle2[Codierung],0),0)&gt;0,VLOOKUP(I61,Tabelle1[[Ort]:[RK KLV C üD]],3,),VLOOKUP(I61,Tabelle1[[Ort]:[RK KLV C üD]],6)),"")</f>
        <v/>
      </c>
      <c r="R61" s="77" t="str">
        <f>IFERROR(IF(IFERROR(MATCH($C$4&amp;$I61,Tabelle2[Codierung],0),0)&gt;0,VLOOKUP(I61,Tabelle1[[Ort]:[RK KLV C üD]],4,),VLOOKUP(I61,Tabelle1[[Ort]:[RK KLV C üD]],7)),"")</f>
        <v/>
      </c>
      <c r="S61" s="78" t="str">
        <f>IFERROR(tbl_Ferienaufenthalt_SO[[#This Row],[KLV A]]*tbl_Ferienaufenthalt_SO[[#This Row],[KLV A Ansatz]]/60,"")</f>
        <v/>
      </c>
      <c r="T61" s="78" t="str">
        <f>IFERROR(tbl_Ferienaufenthalt_SO[[#This Row],[KLV B]]*tbl_Ferienaufenthalt_SO[[#This Row],[KLV B Ansatz]]/60,"")</f>
        <v/>
      </c>
      <c r="U61" s="78" t="str">
        <f>IFERROR(tbl_Ferienaufenthalt_SO[[#This Row],[KLV C]]*tbl_Ferienaufenthalt_SO[[#This Row],[KLV C Ansatz]]/60,"")</f>
        <v/>
      </c>
      <c r="V61" s="78">
        <f t="shared" si="2"/>
        <v>0</v>
      </c>
      <c r="W61" s="81">
        <f>COUNTIF($H$12:$H61,H61)</f>
        <v>0</v>
      </c>
      <c r="X61" s="199"/>
      <c r="Y61" s="199"/>
    </row>
  </sheetData>
  <sheetProtection password="D46B" sheet="1" objects="1" scenarios="1"/>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K23" sqref="K23"/>
    </sheetView>
  </sheetViews>
  <sheetFormatPr baseColWidth="10" defaultRowHeight="15" x14ac:dyDescent="0.25"/>
  <cols>
    <col min="1" max="1" width="17.25" style="92" customWidth="1"/>
    <col min="2" max="2" width="11" style="92"/>
    <col min="3" max="3" width="11.25" style="92" bestFit="1" customWidth="1"/>
    <col min="4" max="11" width="11" style="92"/>
    <col min="12" max="12" width="11.375" style="92" customWidth="1"/>
    <col min="13" max="13" width="11" style="92"/>
    <col min="14" max="14" width="11" style="125"/>
    <col min="15" max="18" width="11" style="92"/>
    <col min="19" max="19" width="11" style="125"/>
    <col min="20" max="16384" width="11" style="92"/>
  </cols>
  <sheetData>
    <row r="3" spans="1:18" s="125" customFormat="1" ht="15.75" x14ac:dyDescent="0.25">
      <c r="A3" s="144" t="str">
        <f>'Ferienaufenthalt SO'!A1</f>
        <v>Leistungserbringung nicht am Wohnsitz des Patienten, Aufenthaltsort im Kanton Solothurn</v>
      </c>
      <c r="B3" s="144"/>
      <c r="C3" s="144"/>
      <c r="D3" s="144"/>
      <c r="E3" s="144"/>
      <c r="F3" s="248"/>
      <c r="G3" s="248"/>
      <c r="H3" s="248"/>
      <c r="I3" s="248"/>
      <c r="J3" s="92"/>
      <c r="K3" s="249">
        <f>Wohnsitz!H1</f>
        <v>2020</v>
      </c>
      <c r="L3" s="92"/>
      <c r="M3" s="92"/>
      <c r="O3" s="92"/>
      <c r="P3" s="92"/>
      <c r="Q3" s="92"/>
      <c r="R3" s="92"/>
    </row>
    <row r="5" spans="1:18" s="125" customFormat="1" ht="20.25" x14ac:dyDescent="0.3">
      <c r="A5" s="93" t="s">
        <v>0</v>
      </c>
      <c r="B5" s="92"/>
      <c r="C5" s="94"/>
      <c r="D5" s="94"/>
      <c r="E5" s="94"/>
      <c r="F5" s="92"/>
      <c r="G5" s="92"/>
      <c r="H5" s="92"/>
      <c r="I5" s="92"/>
      <c r="J5" s="92"/>
      <c r="K5" s="92"/>
      <c r="L5" s="92"/>
      <c r="M5" s="92"/>
      <c r="O5" s="92"/>
      <c r="P5" s="92"/>
      <c r="Q5" s="92"/>
      <c r="R5" s="92"/>
    </row>
    <row r="6" spans="1:18" s="125" customFormat="1" ht="15.75" x14ac:dyDescent="0.25">
      <c r="A6" s="97" t="s">
        <v>1</v>
      </c>
      <c r="B6" s="330">
        <f>'Ferienaufenthalt SO'!C4</f>
        <v>0</v>
      </c>
      <c r="C6" s="330"/>
      <c r="D6" s="330"/>
      <c r="E6" s="97" t="s">
        <v>4</v>
      </c>
      <c r="F6" s="330">
        <f>'Ferienaufenthalt SO'!F4:G4</f>
        <v>0</v>
      </c>
      <c r="G6" s="330"/>
      <c r="H6" s="330"/>
      <c r="I6" s="92"/>
      <c r="J6" s="92"/>
      <c r="K6" s="92"/>
      <c r="L6" s="92"/>
      <c r="M6" s="92"/>
      <c r="O6" s="92"/>
      <c r="P6" s="92"/>
      <c r="Q6" s="92"/>
      <c r="R6" s="92"/>
    </row>
    <row r="7" spans="1:18" s="125" customFormat="1" ht="15.75" x14ac:dyDescent="0.25">
      <c r="A7" s="97" t="s">
        <v>2</v>
      </c>
      <c r="B7" s="330">
        <f>'Ferienaufenthalt SO'!C5</f>
        <v>0</v>
      </c>
      <c r="C7" s="330"/>
      <c r="D7" s="330"/>
      <c r="E7" s="97" t="s">
        <v>5</v>
      </c>
      <c r="F7" s="329">
        <f>'Ferienaufenthalt SO'!F5:G5</f>
        <v>0</v>
      </c>
      <c r="G7" s="329"/>
      <c r="H7" s="329"/>
      <c r="I7" s="92"/>
      <c r="J7" s="92"/>
      <c r="K7" s="92"/>
      <c r="L7" s="92"/>
      <c r="M7" s="92"/>
      <c r="O7" s="92"/>
      <c r="P7" s="92"/>
      <c r="Q7" s="92"/>
      <c r="R7" s="92"/>
    </row>
    <row r="8" spans="1:18" s="125" customFormat="1" ht="15.75" x14ac:dyDescent="0.25">
      <c r="A8" s="97" t="s">
        <v>3</v>
      </c>
      <c r="B8" s="330">
        <f>'Ferienaufenthalt SO'!C6</f>
        <v>0</v>
      </c>
      <c r="C8" s="330"/>
      <c r="D8" s="330"/>
      <c r="E8" s="97" t="s">
        <v>6</v>
      </c>
      <c r="F8" s="330">
        <f>'Ferienaufenthalt SO'!F6:G6</f>
        <v>0</v>
      </c>
      <c r="G8" s="330"/>
      <c r="H8" s="330"/>
      <c r="I8" s="92"/>
      <c r="J8" s="92"/>
      <c r="K8" s="92"/>
      <c r="L8" s="92"/>
      <c r="M8" s="92"/>
      <c r="O8" s="92"/>
      <c r="P8" s="92"/>
      <c r="Q8" s="92"/>
      <c r="R8" s="92"/>
    </row>
    <row r="9" spans="1:18" s="125" customFormat="1" ht="15.75" x14ac:dyDescent="0.25">
      <c r="A9" s="97" t="s">
        <v>9</v>
      </c>
      <c r="B9" s="331">
        <f>'Ferienaufenthalt SO'!C7</f>
        <v>0</v>
      </c>
      <c r="C9" s="331"/>
      <c r="D9" s="331"/>
      <c r="E9" s="97" t="s">
        <v>7</v>
      </c>
      <c r="F9" s="329">
        <f>'Ferienaufenthalt SO'!F7:G7</f>
        <v>0</v>
      </c>
      <c r="G9" s="329"/>
      <c r="H9" s="329"/>
      <c r="I9" s="92"/>
      <c r="J9" s="92"/>
      <c r="K9" s="92"/>
      <c r="L9" s="92"/>
      <c r="M9" s="92"/>
      <c r="O9" s="92"/>
      <c r="P9" s="92"/>
      <c r="Q9" s="92"/>
      <c r="R9" s="92"/>
    </row>
    <row r="10" spans="1:18" s="125" customFormat="1" ht="15.75" x14ac:dyDescent="0.25">
      <c r="A10" s="97" t="s">
        <v>10</v>
      </c>
      <c r="B10" s="330">
        <f>'Ferienaufenthalt SO'!C8</f>
        <v>0</v>
      </c>
      <c r="C10" s="330"/>
      <c r="D10" s="330"/>
      <c r="E10" s="97" t="s">
        <v>147</v>
      </c>
      <c r="F10" s="330">
        <f>'Ferienaufenthalt SO'!F8:G8</f>
        <v>0</v>
      </c>
      <c r="G10" s="330"/>
      <c r="H10" s="330"/>
      <c r="I10" s="92"/>
      <c r="J10" s="92"/>
      <c r="K10" s="92"/>
      <c r="L10" s="92"/>
      <c r="M10" s="92"/>
      <c r="O10" s="92"/>
      <c r="P10" s="92"/>
      <c r="Q10" s="92"/>
      <c r="R10" s="92"/>
    </row>
    <row r="11" spans="1:18" s="125" customFormat="1" ht="15.75" x14ac:dyDescent="0.25">
      <c r="A11" s="92"/>
      <c r="B11" s="92"/>
      <c r="C11" s="92"/>
      <c r="D11" s="92"/>
      <c r="E11" s="97" t="s">
        <v>8</v>
      </c>
      <c r="F11" s="329">
        <f>'Ferienaufenthalt SO'!F9:G9</f>
        <v>0</v>
      </c>
      <c r="G11" s="329"/>
      <c r="H11" s="329"/>
      <c r="I11" s="92"/>
      <c r="J11" s="92"/>
      <c r="K11" s="92"/>
      <c r="L11" s="92"/>
      <c r="M11" s="92"/>
      <c r="O11" s="92"/>
      <c r="P11" s="92"/>
      <c r="Q11" s="92"/>
      <c r="R11" s="92"/>
    </row>
    <row r="12" spans="1:18" s="125" customFormat="1" ht="15.75" x14ac:dyDescent="0.25">
      <c r="A12" s="275" t="s">
        <v>143</v>
      </c>
      <c r="B12" s="275"/>
      <c r="C12" s="332">
        <f>'Ferienaufenthalt SO'!C10</f>
        <v>0</v>
      </c>
      <c r="D12" s="332"/>
      <c r="E12" s="92"/>
      <c r="F12" s="92"/>
      <c r="G12" s="92"/>
      <c r="H12" s="92"/>
      <c r="I12" s="92"/>
      <c r="J12" s="92"/>
      <c r="K12" s="92"/>
      <c r="L12" s="92"/>
      <c r="M12" s="92"/>
      <c r="O12" s="92"/>
      <c r="P12" s="92"/>
      <c r="Q12" s="92"/>
      <c r="R12" s="92"/>
    </row>
    <row r="13" spans="1:18" s="125" customFormat="1" ht="16.5" thickBot="1" x14ac:dyDescent="0.3">
      <c r="A13" s="126"/>
      <c r="B13" s="126"/>
      <c r="C13" s="127"/>
      <c r="D13" s="92"/>
      <c r="E13" s="92"/>
      <c r="F13" s="92"/>
      <c r="G13" s="92"/>
      <c r="H13" s="92"/>
      <c r="I13" s="92"/>
      <c r="J13" s="92"/>
      <c r="K13" s="92"/>
      <c r="L13" s="92"/>
      <c r="M13" s="92"/>
      <c r="O13" s="92"/>
      <c r="P13" s="92"/>
      <c r="Q13" s="92"/>
      <c r="R13" s="92"/>
    </row>
    <row r="14" spans="1:18" s="125" customFormat="1" ht="15.75" thickBot="1" x14ac:dyDescent="0.3">
      <c r="A14" s="92"/>
      <c r="B14" s="92"/>
      <c r="C14" s="92"/>
      <c r="D14" s="92"/>
      <c r="E14" s="287" t="s">
        <v>236</v>
      </c>
      <c r="F14" s="288"/>
      <c r="G14" s="288"/>
      <c r="H14" s="289"/>
      <c r="I14" s="283" t="s">
        <v>180</v>
      </c>
      <c r="J14" s="284"/>
      <c r="K14" s="284"/>
      <c r="L14" s="284"/>
      <c r="M14" s="285"/>
      <c r="O14" s="92"/>
      <c r="P14" s="92"/>
      <c r="Q14" s="92"/>
      <c r="R14" s="92"/>
    </row>
    <row r="15" spans="1:18" s="125" customFormat="1" ht="141" thickBot="1" x14ac:dyDescent="0.3">
      <c r="A15" s="163" t="s">
        <v>196</v>
      </c>
      <c r="B15" s="162" t="s">
        <v>191</v>
      </c>
      <c r="C15" s="162" t="s">
        <v>192</v>
      </c>
      <c r="D15" s="162"/>
      <c r="E15" s="108" t="s">
        <v>202</v>
      </c>
      <c r="F15" s="128" t="s">
        <v>203</v>
      </c>
      <c r="G15" s="129" t="s">
        <v>204</v>
      </c>
      <c r="H15" s="130" t="s">
        <v>132</v>
      </c>
      <c r="I15" s="226" t="s">
        <v>202</v>
      </c>
      <c r="J15" s="227" t="s">
        <v>211</v>
      </c>
      <c r="K15" s="228" t="s">
        <v>204</v>
      </c>
      <c r="L15" s="131" t="s">
        <v>11</v>
      </c>
      <c r="M15" s="228" t="s">
        <v>289</v>
      </c>
      <c r="O15" s="92"/>
      <c r="P15" s="92"/>
      <c r="Q15" s="92"/>
      <c r="R15" s="92"/>
    </row>
    <row r="16" spans="1:18" s="125" customFormat="1" x14ac:dyDescent="0.25">
      <c r="A16" s="237" t="str">
        <f>IFERROR(INDEX('Ferienaufenthalt SO'!$H:$H,_xlfn.AGGREGATE(15,6,ROW(tbl_Ferienaufenthalt_SO[Ort_Wohnsitz])/(tbl_Ferienaufenthalt_SO[Vorkommen]=1),ROW()-15)),"")</f>
        <v/>
      </c>
      <c r="B16" s="133" t="str">
        <f>IF(A16&lt;&gt;"",SUMIF(tbl_Ferienaufenthalt_SO[Ort_Wohnsitz],A16,tbl_Ferienaufenthalt_SO[Anzahl Pflegetage]),"")</f>
        <v/>
      </c>
      <c r="C16" s="134" t="str">
        <f>IF(A16&lt;&gt;"",SUMIF(tbl_Ferienaufenthalt_SO[Ort_Wohnsitz],A16,tbl_Ferienaufenthalt_SO[Patienten Beteiligung]),"")</f>
        <v/>
      </c>
      <c r="D16" s="134"/>
      <c r="E16" s="114" t="str">
        <f>IF(A16&lt;&gt;"",SUMIF(tbl_Ferienaufenthalt_SO[Ort_Wohnsitz],A16,tbl_Ferienaufenthalt_SO[KLV A])/60,"")</f>
        <v/>
      </c>
      <c r="F16" s="114" t="str">
        <f>IF(A16&lt;&gt;"",SUMIF(tbl_Ferienaufenthalt_SO[Ort_Wohnsitz],A16,tbl_Ferienaufenthalt_SO[KLV B])/60,"")</f>
        <v/>
      </c>
      <c r="G16" s="114" t="str">
        <f>IF(A16&lt;&gt;"",SUMIF(tbl_Ferienaufenthalt_SO[Ort_Wohnsitz],A16,tbl_Ferienaufenthalt_SO[KLV C])/60,"")</f>
        <v/>
      </c>
      <c r="H16" s="134">
        <f>SUM(E16:G16)</f>
        <v>0</v>
      </c>
      <c r="I16" s="134" t="str">
        <f>IF(A16&lt;&gt;"",SUMIF(tbl_Ferienaufenthalt_SO[Ort_Wohnsitz],A16,tbl_Ferienaufenthalt_SO[KLV A Kosten]),"")</f>
        <v/>
      </c>
      <c r="J16" s="134" t="str">
        <f>IF(A16&lt;&gt;"",SUMIF(tbl_Ferienaufenthalt_SO[Ort_Wohnsitz],A16,tbl_Ferienaufenthalt_SO[KLV B Kosten]),"")</f>
        <v/>
      </c>
      <c r="K16" s="134" t="str">
        <f>IF(A16&lt;&gt;"",SUMIF(tbl_Ferienaufenthalt_SO[Ort_Wohnsitz],A16,tbl_Ferienaufenthalt_SO[KLV C Kosten]),"")</f>
        <v/>
      </c>
      <c r="L16" s="218">
        <f>SUM(I16:K16)</f>
        <v>0</v>
      </c>
      <c r="M16" s="221" t="str">
        <f>IF(A16&lt;&gt;"",SUMIF(tbl_Ferienaufenthalt_SO[Ort_Wohnsitz],A16,tbl_Ferienaufenthalt_SO[Mittel und Gegenstände (max. MiGeL) Einstandspreise]),"")</f>
        <v/>
      </c>
      <c r="O16" s="92"/>
      <c r="P16" s="92"/>
      <c r="Q16" s="92"/>
      <c r="R16" s="92"/>
    </row>
    <row r="17" spans="1:18" s="125" customFormat="1" x14ac:dyDescent="0.25">
      <c r="A17" s="135" t="str">
        <f>IFERROR(INDEX('Ferienaufenthalt SO'!$H:$H,_xlfn.AGGREGATE(15,6,ROW(tbl_Ferienaufenthalt_SO[Ort_Wohnsitz])/(tbl_Ferienaufenthalt_SO[Vorkommen]=1),ROW()-15)),"")</f>
        <v/>
      </c>
      <c r="B17" s="136" t="str">
        <f>IF(A17&lt;&gt;"",SUMIF(tbl_Ferienaufenthalt_SO[Ort_Wohnsitz],A17,tbl_Ferienaufenthalt_SO[Anzahl Pflegetage]),"")</f>
        <v/>
      </c>
      <c r="C17" s="118" t="str">
        <f>IF(A17&lt;&gt;"",SUMIF(tbl_Ferienaufenthalt_SO[Ort_Wohnsitz],A17,tbl_Ferienaufenthalt_SO[Patienten Beteiligung]),"")</f>
        <v/>
      </c>
      <c r="D17" s="118"/>
      <c r="E17" s="118" t="str">
        <f>IF(A17&lt;&gt;"",SUMIF(tbl_Ferienaufenthalt_SO[Ort_Wohnsitz],A17,tbl_Ferienaufenthalt_SO[KLV A])/60,"")</f>
        <v/>
      </c>
      <c r="F17" s="118" t="str">
        <f>IF(A17&lt;&gt;"",SUMIF(tbl_Ferienaufenthalt_SO[Ort_Wohnsitz],A17,tbl_Ferienaufenthalt_SO[KLV B])/60,"")</f>
        <v/>
      </c>
      <c r="G17" s="118" t="str">
        <f>IF(A17&lt;&gt;"",SUMIF(tbl_Ferienaufenthalt_SO[Ort_Wohnsitz],A17,tbl_Ferienaufenthalt_SO[KLV C])/60,"")</f>
        <v/>
      </c>
      <c r="H17" s="118">
        <f t="shared" ref="H17:H30" si="0">SUM(E17:G17)</f>
        <v>0</v>
      </c>
      <c r="I17" s="118" t="str">
        <f>IF(A17&lt;&gt;"",SUMIF(tbl_Ferienaufenthalt_SO[Ort_Wohnsitz],A17,tbl_Ferienaufenthalt_SO[KLV A Kosten]),"")</f>
        <v/>
      </c>
      <c r="J17" s="118" t="str">
        <f>IF(A17&lt;&gt;"",SUMIF(tbl_Ferienaufenthalt_SO[Ort_Wohnsitz],A17,tbl_Ferienaufenthalt_SO[KLV B Kosten]),"")</f>
        <v/>
      </c>
      <c r="K17" s="118" t="str">
        <f>IF(A17&lt;&gt;"",SUMIF(tbl_Ferienaufenthalt_SO[Ort_Wohnsitz],A17,tbl_Ferienaufenthalt_SO[KLV C Kosten]),"")</f>
        <v/>
      </c>
      <c r="L17" s="219">
        <f t="shared" ref="L17:L30" si="1">SUM(I17:K17)</f>
        <v>0</v>
      </c>
      <c r="M17" s="222" t="str">
        <f>IF(A17&lt;&gt;"",SUMIF(tbl_Ferienaufenthalt_SO[Ort_Wohnsitz],A17,tbl_Ferienaufenthalt_SO[Mittel und Gegenstände (max. MiGeL) Einstandspreise]),"")</f>
        <v/>
      </c>
      <c r="O17" s="92"/>
      <c r="P17" s="92"/>
      <c r="Q17" s="92"/>
      <c r="R17" s="92"/>
    </row>
    <row r="18" spans="1:18" s="125" customFormat="1" x14ac:dyDescent="0.25">
      <c r="A18" s="135" t="str">
        <f>IFERROR(INDEX('Ferienaufenthalt SO'!$H:$H,_xlfn.AGGREGATE(15,6,ROW(tbl_Ferienaufenthalt_SO[Ort_Wohnsitz])/(tbl_Ferienaufenthalt_SO[Vorkommen]=1),ROW()-15)),"")</f>
        <v/>
      </c>
      <c r="B18" s="136" t="str">
        <f>IF(A18&lt;&gt;"",SUMIF(tbl_Ferienaufenthalt_SO[Ort_Wohnsitz],A18,tbl_Ferienaufenthalt_SO[Anzahl Pflegetage]),"")</f>
        <v/>
      </c>
      <c r="C18" s="118" t="str">
        <f>IF(A18&lt;&gt;"",SUMIF(tbl_Ferienaufenthalt_SO[Ort_Wohnsitz],A18,tbl_Ferienaufenthalt_SO[Patienten Beteiligung]),"")</f>
        <v/>
      </c>
      <c r="D18" s="118"/>
      <c r="E18" s="118" t="str">
        <f>IF(A18&lt;&gt;"",SUMIF(tbl_Ferienaufenthalt_SO[Ort_Wohnsitz],A18,tbl_Ferienaufenthalt_SO[KLV A])/60,"")</f>
        <v/>
      </c>
      <c r="F18" s="118" t="str">
        <f>IF(A18&lt;&gt;"",SUMIF(tbl_Ferienaufenthalt_SO[Ort_Wohnsitz],A18,tbl_Ferienaufenthalt_SO[KLV B])/60,"")</f>
        <v/>
      </c>
      <c r="G18" s="118" t="str">
        <f>IF(A18&lt;&gt;"",SUMIF(tbl_Ferienaufenthalt_SO[Ort_Wohnsitz],A18,tbl_Ferienaufenthalt_SO[KLV C])/60,"")</f>
        <v/>
      </c>
      <c r="H18" s="118">
        <f t="shared" si="0"/>
        <v>0</v>
      </c>
      <c r="I18" s="118" t="str">
        <f>IF(A18&lt;&gt;"",SUMIF(tbl_Ferienaufenthalt_SO[Ort_Wohnsitz],A18,tbl_Ferienaufenthalt_SO[KLV A Kosten]),"")</f>
        <v/>
      </c>
      <c r="J18" s="118" t="str">
        <f>IF(A18&lt;&gt;"",SUMIF(tbl_Ferienaufenthalt_SO[Ort_Wohnsitz],A18,tbl_Ferienaufenthalt_SO[KLV B Kosten]),"")</f>
        <v/>
      </c>
      <c r="K18" s="118" t="str">
        <f>IF(A18&lt;&gt;"",SUMIF(tbl_Ferienaufenthalt_SO[Ort_Wohnsitz],A18,tbl_Ferienaufenthalt_SO[KLV C Kosten]),"")</f>
        <v/>
      </c>
      <c r="L18" s="219">
        <f t="shared" si="1"/>
        <v>0</v>
      </c>
      <c r="M18" s="222" t="str">
        <f>IF(A18&lt;&gt;"",SUMIF(tbl_Ferienaufenthalt_SO[Ort_Wohnsitz],A18,tbl_Ferienaufenthalt_SO[Mittel und Gegenstände (max. MiGeL) Einstandspreise]),"")</f>
        <v/>
      </c>
      <c r="O18" s="92"/>
      <c r="P18" s="92"/>
      <c r="Q18" s="92"/>
      <c r="R18" s="92"/>
    </row>
    <row r="19" spans="1:18" s="125" customFormat="1" x14ac:dyDescent="0.25">
      <c r="A19" s="135" t="str">
        <f>IFERROR(INDEX('Ferienaufenthalt SO'!$H:$H,_xlfn.AGGREGATE(15,6,ROW(tbl_Ferienaufenthalt_SO[Ort_Wohnsitz])/(tbl_Ferienaufenthalt_SO[Vorkommen]=1),ROW()-15)),"")</f>
        <v/>
      </c>
      <c r="B19" s="136" t="str">
        <f>IF(A19&lt;&gt;"",SUMIF(tbl_Ferienaufenthalt_SO[Ort_Wohnsitz],A19,tbl_Ferienaufenthalt_SO[Anzahl Pflegetage]),"")</f>
        <v/>
      </c>
      <c r="C19" s="118" t="str">
        <f>IF(A19&lt;&gt;"",SUMIF(tbl_Ferienaufenthalt_SO[Ort_Wohnsitz],A19,tbl_Ferienaufenthalt_SO[Patienten Beteiligung]),"")</f>
        <v/>
      </c>
      <c r="D19" s="118"/>
      <c r="E19" s="118" t="str">
        <f>IF(A19&lt;&gt;"",SUMIF(tbl_Ferienaufenthalt_SO[Ort_Wohnsitz],A19,tbl_Ferienaufenthalt_SO[KLV A])/60,"")</f>
        <v/>
      </c>
      <c r="F19" s="118" t="str">
        <f>IF(A19&lt;&gt;"",SUMIF(tbl_Ferienaufenthalt_SO[Ort_Wohnsitz],A19,tbl_Ferienaufenthalt_SO[KLV B])/60,"")</f>
        <v/>
      </c>
      <c r="G19" s="118" t="str">
        <f>IF(A19&lt;&gt;"",SUMIF(tbl_Ferienaufenthalt_SO[Ort_Wohnsitz],A19,tbl_Ferienaufenthalt_SO[KLV C])/60,"")</f>
        <v/>
      </c>
      <c r="H19" s="118">
        <f t="shared" si="0"/>
        <v>0</v>
      </c>
      <c r="I19" s="118" t="str">
        <f>IF(A19&lt;&gt;"",SUMIF(tbl_Ferienaufenthalt_SO[Ort_Wohnsitz],A19,tbl_Ferienaufenthalt_SO[KLV A Kosten]),"")</f>
        <v/>
      </c>
      <c r="J19" s="118" t="str">
        <f>IF(A19&lt;&gt;"",SUMIF(tbl_Ferienaufenthalt_SO[Ort_Wohnsitz],A19,tbl_Ferienaufenthalt_SO[KLV B Kosten]),"")</f>
        <v/>
      </c>
      <c r="K19" s="118" t="str">
        <f>IF(A19&lt;&gt;"",SUMIF(tbl_Ferienaufenthalt_SO[Ort_Wohnsitz],A19,tbl_Ferienaufenthalt_SO[KLV C Kosten]),"")</f>
        <v/>
      </c>
      <c r="L19" s="219">
        <f t="shared" si="1"/>
        <v>0</v>
      </c>
      <c r="M19" s="222" t="str">
        <f>IF(A19&lt;&gt;"",SUMIF(tbl_Ferienaufenthalt_SO[Ort_Wohnsitz],A19,tbl_Ferienaufenthalt_SO[Mittel und Gegenstände (max. MiGeL) Einstandspreise]),"")</f>
        <v/>
      </c>
      <c r="O19" s="92"/>
      <c r="P19" s="92"/>
      <c r="Q19" s="92"/>
      <c r="R19" s="92"/>
    </row>
    <row r="20" spans="1:18" s="125" customFormat="1" x14ac:dyDescent="0.25">
      <c r="A20" s="135" t="str">
        <f>IFERROR(INDEX('Ferienaufenthalt SO'!$H:$H,_xlfn.AGGREGATE(15,6,ROW(tbl_Ferienaufenthalt_SO[Ort_Wohnsitz])/(tbl_Ferienaufenthalt_SO[Vorkommen]=1),ROW()-15)),"")</f>
        <v/>
      </c>
      <c r="B20" s="136" t="str">
        <f>IF(A20&lt;&gt;"",SUMIF(tbl_Ferienaufenthalt_SO[Ort_Wohnsitz],A20,tbl_Ferienaufenthalt_SO[Anzahl Pflegetage]),"")</f>
        <v/>
      </c>
      <c r="C20" s="118" t="str">
        <f>IF(A20&lt;&gt;"",SUMIF(tbl_Ferienaufenthalt_SO[Ort_Wohnsitz],A20,tbl_Ferienaufenthalt_SO[Patienten Beteiligung]),"")</f>
        <v/>
      </c>
      <c r="D20" s="118"/>
      <c r="E20" s="118" t="str">
        <f>IF(A20&lt;&gt;"",SUMIF(tbl_Ferienaufenthalt_SO[Ort_Wohnsitz],A20,tbl_Ferienaufenthalt_SO[KLV A])/60,"")</f>
        <v/>
      </c>
      <c r="F20" s="118" t="str">
        <f>IF(A20&lt;&gt;"",SUMIF(tbl_Ferienaufenthalt_SO[Ort_Wohnsitz],A20,tbl_Ferienaufenthalt_SO[KLV B])/60,"")</f>
        <v/>
      </c>
      <c r="G20" s="118" t="str">
        <f>IF(A20&lt;&gt;"",SUMIF(tbl_Ferienaufenthalt_SO[Ort_Wohnsitz],A20,tbl_Ferienaufenthalt_SO[KLV C])/60,"")</f>
        <v/>
      </c>
      <c r="H20" s="118">
        <f t="shared" si="0"/>
        <v>0</v>
      </c>
      <c r="I20" s="118" t="str">
        <f>IF(A20&lt;&gt;"",SUMIF(tbl_Ferienaufenthalt_SO[Ort_Wohnsitz],A20,tbl_Ferienaufenthalt_SO[KLV A Kosten]),"")</f>
        <v/>
      </c>
      <c r="J20" s="118" t="str">
        <f>IF(A20&lt;&gt;"",SUMIF(tbl_Ferienaufenthalt_SO[Ort_Wohnsitz],A20,tbl_Ferienaufenthalt_SO[KLV B Kosten]),"")</f>
        <v/>
      </c>
      <c r="K20" s="118" t="str">
        <f>IF(A20&lt;&gt;"",SUMIF(tbl_Ferienaufenthalt_SO[Ort_Wohnsitz],A20,tbl_Ferienaufenthalt_SO[KLV C Kosten]),"")</f>
        <v/>
      </c>
      <c r="L20" s="219">
        <f t="shared" si="1"/>
        <v>0</v>
      </c>
      <c r="M20" s="222" t="str">
        <f>IF(A20&lt;&gt;"",SUMIF(tbl_Ferienaufenthalt_SO[Ort_Wohnsitz],A20,tbl_Ferienaufenthalt_SO[Mittel und Gegenstände (max. MiGeL) Einstandspreise]),"")</f>
        <v/>
      </c>
      <c r="O20" s="92"/>
      <c r="P20" s="92"/>
      <c r="Q20" s="92"/>
      <c r="R20" s="92"/>
    </row>
    <row r="21" spans="1:18" s="125" customFormat="1" x14ac:dyDescent="0.25">
      <c r="A21" s="135" t="str">
        <f>IFERROR(INDEX('Ferienaufenthalt SO'!$H:$H,_xlfn.AGGREGATE(15,6,ROW(tbl_Ferienaufenthalt_SO[Ort_Wohnsitz])/(tbl_Ferienaufenthalt_SO[Vorkommen]=1),ROW()-15)),"")</f>
        <v/>
      </c>
      <c r="B21" s="136" t="str">
        <f>IF(A21&lt;&gt;"",SUMIF(tbl_Ferienaufenthalt_SO[Ort_Wohnsitz],A21,tbl_Ferienaufenthalt_SO[Anzahl Pflegetage]),"")</f>
        <v/>
      </c>
      <c r="C21" s="118" t="str">
        <f>IF(A21&lt;&gt;"",SUMIF(tbl_Ferienaufenthalt_SO[Ort_Wohnsitz],A21,tbl_Ferienaufenthalt_SO[Patienten Beteiligung]),"")</f>
        <v/>
      </c>
      <c r="D21" s="118"/>
      <c r="E21" s="118" t="str">
        <f>IF(A21&lt;&gt;"",SUMIF(tbl_Ferienaufenthalt_SO[Ort_Wohnsitz],A21,tbl_Ferienaufenthalt_SO[KLV A])/60,"")</f>
        <v/>
      </c>
      <c r="F21" s="118" t="str">
        <f>IF(A21&lt;&gt;"",SUMIF(tbl_Ferienaufenthalt_SO[Ort_Wohnsitz],A21,tbl_Ferienaufenthalt_SO[KLV B])/60,"")</f>
        <v/>
      </c>
      <c r="G21" s="118" t="str">
        <f>IF(A21&lt;&gt;"",SUMIF(tbl_Ferienaufenthalt_SO[Ort_Wohnsitz],A21,tbl_Ferienaufenthalt_SO[KLV C])/60,"")</f>
        <v/>
      </c>
      <c r="H21" s="118">
        <f t="shared" ref="H21:H24" si="2">SUM(E21:G21)</f>
        <v>0</v>
      </c>
      <c r="I21" s="118" t="str">
        <f>IF(A21&lt;&gt;"",SUMIF(tbl_Ferienaufenthalt_SO[Ort_Wohnsitz],A21,tbl_Ferienaufenthalt_SO[KLV A Kosten]),"")</f>
        <v/>
      </c>
      <c r="J21" s="118" t="str">
        <f>IF(A21&lt;&gt;"",SUMIF(tbl_Ferienaufenthalt_SO[Ort_Wohnsitz],A21,tbl_Ferienaufenthalt_SO[KLV B Kosten]),"")</f>
        <v/>
      </c>
      <c r="K21" s="118" t="str">
        <f>IF(A21&lt;&gt;"",SUMIF(tbl_Ferienaufenthalt_SO[Ort_Wohnsitz],A21,tbl_Ferienaufenthalt_SO[KLV C Kosten]),"")</f>
        <v/>
      </c>
      <c r="L21" s="219">
        <f t="shared" ref="L21:L24" si="3">SUM(I21:K21)</f>
        <v>0</v>
      </c>
      <c r="M21" s="222" t="str">
        <f>IF(A21&lt;&gt;"",SUMIF(tbl_Ferienaufenthalt_SO[Ort_Wohnsitz],A21,tbl_Ferienaufenthalt_SO[Mittel und Gegenstände (max. MiGeL) Einstandspreise]),"")</f>
        <v/>
      </c>
      <c r="O21" s="92"/>
      <c r="P21" s="92"/>
      <c r="Q21" s="92"/>
      <c r="R21" s="92"/>
    </row>
    <row r="22" spans="1:18" s="125" customFormat="1" x14ac:dyDescent="0.25">
      <c r="A22" s="135" t="str">
        <f>IFERROR(INDEX('Ferienaufenthalt SO'!$H:$H,_xlfn.AGGREGATE(15,6,ROW(tbl_Ferienaufenthalt_SO[Ort_Wohnsitz])/(tbl_Ferienaufenthalt_SO[Vorkommen]=1),ROW()-15)),"")</f>
        <v/>
      </c>
      <c r="B22" s="136" t="str">
        <f>IF(A22&lt;&gt;"",SUMIF(tbl_Ferienaufenthalt_SO[Ort_Wohnsitz],A22,tbl_Ferienaufenthalt_SO[Anzahl Pflegetage]),"")</f>
        <v/>
      </c>
      <c r="C22" s="118" t="str">
        <f>IF(A22&lt;&gt;"",SUMIF(tbl_Ferienaufenthalt_SO[Ort_Wohnsitz],A22,tbl_Ferienaufenthalt_SO[Patienten Beteiligung]),"")</f>
        <v/>
      </c>
      <c r="D22" s="118"/>
      <c r="E22" s="118" t="str">
        <f>IF(A22&lt;&gt;"",SUMIF(tbl_Ferienaufenthalt_SO[Ort_Wohnsitz],A22,tbl_Ferienaufenthalt_SO[KLV A])/60,"")</f>
        <v/>
      </c>
      <c r="F22" s="118" t="str">
        <f>IF(A22&lt;&gt;"",SUMIF(tbl_Ferienaufenthalt_SO[Ort_Wohnsitz],A22,tbl_Ferienaufenthalt_SO[KLV B])/60,"")</f>
        <v/>
      </c>
      <c r="G22" s="118" t="str">
        <f>IF(A22&lt;&gt;"",SUMIF(tbl_Ferienaufenthalt_SO[Ort_Wohnsitz],A22,tbl_Ferienaufenthalt_SO[KLV C])/60,"")</f>
        <v/>
      </c>
      <c r="H22" s="118">
        <f t="shared" si="2"/>
        <v>0</v>
      </c>
      <c r="I22" s="118" t="str">
        <f>IF(A22&lt;&gt;"",SUMIF(tbl_Ferienaufenthalt_SO[Ort_Wohnsitz],A22,tbl_Ferienaufenthalt_SO[KLV A Kosten]),"")</f>
        <v/>
      </c>
      <c r="J22" s="118" t="str">
        <f>IF(A22&lt;&gt;"",SUMIF(tbl_Ferienaufenthalt_SO[Ort_Wohnsitz],A22,tbl_Ferienaufenthalt_SO[KLV B Kosten]),"")</f>
        <v/>
      </c>
      <c r="K22" s="118" t="str">
        <f>IF(A22&lt;&gt;"",SUMIF(tbl_Ferienaufenthalt_SO[Ort_Wohnsitz],A22,tbl_Ferienaufenthalt_SO[KLV C Kosten]),"")</f>
        <v/>
      </c>
      <c r="L22" s="219">
        <f t="shared" si="3"/>
        <v>0</v>
      </c>
      <c r="M22" s="222" t="str">
        <f>IF(A22&lt;&gt;"",SUMIF(tbl_Ferienaufenthalt_SO[Ort_Wohnsitz],A22,tbl_Ferienaufenthalt_SO[Mittel und Gegenstände (max. MiGeL) Einstandspreise]),"")</f>
        <v/>
      </c>
      <c r="O22" s="92"/>
      <c r="P22" s="92"/>
      <c r="Q22" s="92"/>
      <c r="R22" s="92"/>
    </row>
    <row r="23" spans="1:18" s="125" customFormat="1" x14ac:dyDescent="0.25">
      <c r="A23" s="135" t="str">
        <f>IFERROR(INDEX('Ferienaufenthalt SO'!$H:$H,_xlfn.AGGREGATE(15,6,ROW(tbl_Ferienaufenthalt_SO[Ort_Wohnsitz])/(tbl_Ferienaufenthalt_SO[Vorkommen]=1),ROW()-15)),"")</f>
        <v/>
      </c>
      <c r="B23" s="136" t="str">
        <f>IF(A23&lt;&gt;"",SUMIF(tbl_Ferienaufenthalt_SO[Ort_Wohnsitz],A23,tbl_Ferienaufenthalt_SO[Anzahl Pflegetage]),"")</f>
        <v/>
      </c>
      <c r="C23" s="118" t="str">
        <f>IF(A23&lt;&gt;"",SUMIF(tbl_Ferienaufenthalt_SO[Ort_Wohnsitz],A23,tbl_Ferienaufenthalt_SO[Patienten Beteiligung]),"")</f>
        <v/>
      </c>
      <c r="D23" s="118"/>
      <c r="E23" s="118" t="str">
        <f>IF(A23&lt;&gt;"",SUMIF(tbl_Ferienaufenthalt_SO[Ort_Wohnsitz],A23,tbl_Ferienaufenthalt_SO[KLV A])/60,"")</f>
        <v/>
      </c>
      <c r="F23" s="118" t="str">
        <f>IF(A23&lt;&gt;"",SUMIF(tbl_Ferienaufenthalt_SO[Ort_Wohnsitz],A23,tbl_Ferienaufenthalt_SO[KLV B])/60,"")</f>
        <v/>
      </c>
      <c r="G23" s="118" t="str">
        <f>IF(A23&lt;&gt;"",SUMIF(tbl_Ferienaufenthalt_SO[Ort_Wohnsitz],A23,tbl_Ferienaufenthalt_SO[KLV C])/60,"")</f>
        <v/>
      </c>
      <c r="H23" s="118">
        <f t="shared" si="2"/>
        <v>0</v>
      </c>
      <c r="I23" s="118" t="str">
        <f>IF(A23&lt;&gt;"",SUMIF(tbl_Ferienaufenthalt_SO[Ort_Wohnsitz],A23,tbl_Ferienaufenthalt_SO[KLV A Kosten]),"")</f>
        <v/>
      </c>
      <c r="J23" s="118" t="str">
        <f>IF(A23&lt;&gt;"",SUMIF(tbl_Ferienaufenthalt_SO[Ort_Wohnsitz],A23,tbl_Ferienaufenthalt_SO[KLV B Kosten]),"")</f>
        <v/>
      </c>
      <c r="K23" s="118" t="str">
        <f>IF(A23&lt;&gt;"",SUMIF(tbl_Ferienaufenthalt_SO[Ort_Wohnsitz],A23,tbl_Ferienaufenthalt_SO[KLV C Kosten]),"")</f>
        <v/>
      </c>
      <c r="L23" s="219">
        <f t="shared" si="3"/>
        <v>0</v>
      </c>
      <c r="M23" s="222" t="str">
        <f>IF(A23&lt;&gt;"",SUMIF(tbl_Ferienaufenthalt_SO[Ort_Wohnsitz],A23,tbl_Ferienaufenthalt_SO[Mittel und Gegenstände (max. MiGeL) Einstandspreise]),"")</f>
        <v/>
      </c>
      <c r="O23" s="92"/>
      <c r="P23" s="92"/>
      <c r="Q23" s="92"/>
      <c r="R23" s="92"/>
    </row>
    <row r="24" spans="1:18" s="125" customFormat="1" x14ac:dyDescent="0.25">
      <c r="A24" s="135" t="str">
        <f>IFERROR(INDEX('Ferienaufenthalt SO'!$H:$H,_xlfn.AGGREGATE(15,6,ROW(tbl_Ferienaufenthalt_SO[Ort_Wohnsitz])/(tbl_Ferienaufenthalt_SO[Vorkommen]=1),ROW()-15)),"")</f>
        <v/>
      </c>
      <c r="B24" s="136" t="str">
        <f>IF(A24&lt;&gt;"",SUMIF(tbl_Ferienaufenthalt_SO[Ort_Wohnsitz],A24,tbl_Ferienaufenthalt_SO[Anzahl Pflegetage]),"")</f>
        <v/>
      </c>
      <c r="C24" s="118" t="str">
        <f>IF(A24&lt;&gt;"",SUMIF(tbl_Ferienaufenthalt_SO[Ort_Wohnsitz],A24,tbl_Ferienaufenthalt_SO[Patienten Beteiligung]),"")</f>
        <v/>
      </c>
      <c r="D24" s="118"/>
      <c r="E24" s="118" t="str">
        <f>IF(A24&lt;&gt;"",SUMIF(tbl_Ferienaufenthalt_SO[Ort_Wohnsitz],A24,tbl_Ferienaufenthalt_SO[KLV A])/60,"")</f>
        <v/>
      </c>
      <c r="F24" s="118" t="str">
        <f>IF(A24&lt;&gt;"",SUMIF(tbl_Ferienaufenthalt_SO[Ort_Wohnsitz],A24,tbl_Ferienaufenthalt_SO[KLV B])/60,"")</f>
        <v/>
      </c>
      <c r="G24" s="118" t="str">
        <f>IF(A24&lt;&gt;"",SUMIF(tbl_Ferienaufenthalt_SO[Ort_Wohnsitz],A24,tbl_Ferienaufenthalt_SO[KLV C])/60,"")</f>
        <v/>
      </c>
      <c r="H24" s="118">
        <f t="shared" si="2"/>
        <v>0</v>
      </c>
      <c r="I24" s="118" t="str">
        <f>IF(A24&lt;&gt;"",SUMIF(tbl_Ferienaufenthalt_SO[Ort_Wohnsitz],A24,tbl_Ferienaufenthalt_SO[KLV A Kosten]),"")</f>
        <v/>
      </c>
      <c r="J24" s="118" t="str">
        <f>IF(A24&lt;&gt;"",SUMIF(tbl_Ferienaufenthalt_SO[Ort_Wohnsitz],A24,tbl_Ferienaufenthalt_SO[KLV B Kosten]),"")</f>
        <v/>
      </c>
      <c r="K24" s="118" t="str">
        <f>IF(A24&lt;&gt;"",SUMIF(tbl_Ferienaufenthalt_SO[Ort_Wohnsitz],A24,tbl_Ferienaufenthalt_SO[KLV C Kosten]),"")</f>
        <v/>
      </c>
      <c r="L24" s="219">
        <f t="shared" si="3"/>
        <v>0</v>
      </c>
      <c r="M24" s="222" t="str">
        <f>IF(A24&lt;&gt;"",SUMIF(tbl_Ferienaufenthalt_SO[Ort_Wohnsitz],A24,tbl_Ferienaufenthalt_SO[Mittel und Gegenstände (max. MiGeL) Einstandspreise]),"")</f>
        <v/>
      </c>
      <c r="O24" s="92"/>
      <c r="P24" s="92"/>
      <c r="Q24" s="92"/>
      <c r="R24" s="92"/>
    </row>
    <row r="25" spans="1:18" s="125" customFormat="1" x14ac:dyDescent="0.25">
      <c r="A25" s="135" t="str">
        <f>IFERROR(INDEX('Ferienaufenthalt SO'!$H:$H,_xlfn.AGGREGATE(15,6,ROW(tbl_Ferienaufenthalt_SO[Ort_Wohnsitz])/(tbl_Ferienaufenthalt_SO[Vorkommen]=1),ROW()-15)),"")</f>
        <v/>
      </c>
      <c r="B25" s="136" t="str">
        <f>IF(A25&lt;&gt;"",SUMIF(tbl_Ferienaufenthalt_SO[Ort_Wohnsitz],A25,tbl_Ferienaufenthalt_SO[Anzahl Pflegetage]),"")</f>
        <v/>
      </c>
      <c r="C25" s="118" t="str">
        <f>IF(A25&lt;&gt;"",SUMIF(tbl_Ferienaufenthalt_SO[Ort_Wohnsitz],A25,tbl_Ferienaufenthalt_SO[Patienten Beteiligung]),"")</f>
        <v/>
      </c>
      <c r="D25" s="118"/>
      <c r="E25" s="118" t="str">
        <f>IF(A25&lt;&gt;"",SUMIF(tbl_Ferienaufenthalt_SO[Ort_Wohnsitz],A25,tbl_Ferienaufenthalt_SO[KLV A])/60,"")</f>
        <v/>
      </c>
      <c r="F25" s="118" t="str">
        <f>IF(A25&lt;&gt;"",SUMIF(tbl_Ferienaufenthalt_SO[Ort_Wohnsitz],A25,tbl_Ferienaufenthalt_SO[KLV B])/60,"")</f>
        <v/>
      </c>
      <c r="G25" s="118" t="str">
        <f>IF(A25&lt;&gt;"",SUMIF(tbl_Ferienaufenthalt_SO[Ort_Wohnsitz],A25,tbl_Ferienaufenthalt_SO[KLV C])/60,"")</f>
        <v/>
      </c>
      <c r="H25" s="118">
        <f t="shared" si="0"/>
        <v>0</v>
      </c>
      <c r="I25" s="118" t="str">
        <f>IF(A25&lt;&gt;"",SUMIF(tbl_Ferienaufenthalt_SO[Ort_Wohnsitz],A25,tbl_Ferienaufenthalt_SO[KLV A Kosten]),"")</f>
        <v/>
      </c>
      <c r="J25" s="118" t="str">
        <f>IF(A25&lt;&gt;"",SUMIF(tbl_Ferienaufenthalt_SO[Ort_Wohnsitz],A25,tbl_Ferienaufenthalt_SO[KLV B Kosten]),"")</f>
        <v/>
      </c>
      <c r="K25" s="118" t="str">
        <f>IF(A25&lt;&gt;"",SUMIF(tbl_Ferienaufenthalt_SO[Ort_Wohnsitz],A25,tbl_Ferienaufenthalt_SO[KLV C Kosten]),"")</f>
        <v/>
      </c>
      <c r="L25" s="219">
        <f t="shared" si="1"/>
        <v>0</v>
      </c>
      <c r="M25" s="222" t="str">
        <f>IF(A25&lt;&gt;"",SUMIF(tbl_Ferienaufenthalt_SO[Ort_Wohnsitz],A25,tbl_Ferienaufenthalt_SO[Mittel und Gegenstände (max. MiGeL) Einstandspreise]),"")</f>
        <v/>
      </c>
      <c r="O25" s="92"/>
      <c r="P25" s="92"/>
      <c r="Q25" s="92"/>
      <c r="R25" s="92"/>
    </row>
    <row r="26" spans="1:18" s="125" customFormat="1" x14ac:dyDescent="0.25">
      <c r="A26" s="135" t="str">
        <f>IFERROR(INDEX('Ferienaufenthalt SO'!$H:$H,_xlfn.AGGREGATE(15,6,ROW(tbl_Ferienaufenthalt_SO[Ort_Wohnsitz])/(tbl_Ferienaufenthalt_SO[Vorkommen]=1),ROW()-15)),"")</f>
        <v/>
      </c>
      <c r="B26" s="136" t="str">
        <f>IF(A26&lt;&gt;"",SUMIF(tbl_Ferienaufenthalt_SO[Ort_Wohnsitz],A26,tbl_Ferienaufenthalt_SO[Anzahl Pflegetage]),"")</f>
        <v/>
      </c>
      <c r="C26" s="118" t="str">
        <f>IF(A26&lt;&gt;"",SUMIF(tbl_Ferienaufenthalt_SO[Ort_Wohnsitz],A26,tbl_Ferienaufenthalt_SO[Patienten Beteiligung]),"")</f>
        <v/>
      </c>
      <c r="D26" s="118"/>
      <c r="E26" s="118" t="str">
        <f>IF(A26&lt;&gt;"",SUMIF(tbl_Ferienaufenthalt_SO[Ort_Wohnsitz],A26,tbl_Ferienaufenthalt_SO[KLV A])/60,"")</f>
        <v/>
      </c>
      <c r="F26" s="118" t="str">
        <f>IF(A26&lt;&gt;"",SUMIF(tbl_Ferienaufenthalt_SO[Ort_Wohnsitz],A26,tbl_Ferienaufenthalt_SO[KLV B])/60,"")</f>
        <v/>
      </c>
      <c r="G26" s="118" t="str">
        <f>IF(A26&lt;&gt;"",SUMIF(tbl_Ferienaufenthalt_SO[Ort_Wohnsitz],A26,tbl_Ferienaufenthalt_SO[KLV C])/60,"")</f>
        <v/>
      </c>
      <c r="H26" s="118">
        <f t="shared" si="0"/>
        <v>0</v>
      </c>
      <c r="I26" s="118" t="str">
        <f>IF(A26&lt;&gt;"",SUMIF(tbl_Ferienaufenthalt_SO[Ort_Wohnsitz],A26,tbl_Ferienaufenthalt_SO[KLV A Kosten]),"")</f>
        <v/>
      </c>
      <c r="J26" s="118" t="str">
        <f>IF(A26&lt;&gt;"",SUMIF(tbl_Ferienaufenthalt_SO[Ort_Wohnsitz],A26,tbl_Ferienaufenthalt_SO[KLV B Kosten]),"")</f>
        <v/>
      </c>
      <c r="K26" s="118" t="str">
        <f>IF(A26&lt;&gt;"",SUMIF(tbl_Ferienaufenthalt_SO[Ort_Wohnsitz],A26,tbl_Ferienaufenthalt_SO[KLV C Kosten]),"")</f>
        <v/>
      </c>
      <c r="L26" s="219">
        <f t="shared" si="1"/>
        <v>0</v>
      </c>
      <c r="M26" s="222" t="str">
        <f>IF(A26&lt;&gt;"",SUMIF(tbl_Ferienaufenthalt_SO[Ort_Wohnsitz],A26,tbl_Ferienaufenthalt_SO[Mittel und Gegenstände (max. MiGeL) Einstandspreise]),"")</f>
        <v/>
      </c>
      <c r="O26" s="92"/>
      <c r="P26" s="92"/>
      <c r="Q26" s="92"/>
      <c r="R26" s="92"/>
    </row>
    <row r="27" spans="1:18" s="125" customFormat="1" x14ac:dyDescent="0.25">
      <c r="A27" s="135" t="str">
        <f>IFERROR(INDEX('Ferienaufenthalt SO'!$H:$H,_xlfn.AGGREGATE(15,6,ROW(tbl_Ferienaufenthalt_SO[Ort_Wohnsitz])/(tbl_Ferienaufenthalt_SO[Vorkommen]=1),ROW()-15)),"")</f>
        <v/>
      </c>
      <c r="B27" s="136" t="str">
        <f>IF(A27&lt;&gt;"",SUMIF(tbl_Ferienaufenthalt_SO[Ort_Wohnsitz],A27,tbl_Ferienaufenthalt_SO[Anzahl Pflegetage]),"")</f>
        <v/>
      </c>
      <c r="C27" s="118" t="str">
        <f>IF(A27&lt;&gt;"",SUMIF(tbl_Ferienaufenthalt_SO[Ort_Wohnsitz],A27,tbl_Ferienaufenthalt_SO[Patienten Beteiligung]),"")</f>
        <v/>
      </c>
      <c r="D27" s="118"/>
      <c r="E27" s="118" t="str">
        <f>IF(A27&lt;&gt;"",SUMIF(tbl_Ferienaufenthalt_SO[Ort_Wohnsitz],A27,tbl_Ferienaufenthalt_SO[KLV A])/60,"")</f>
        <v/>
      </c>
      <c r="F27" s="118" t="str">
        <f>IF(A27&lt;&gt;"",SUMIF(tbl_Ferienaufenthalt_SO[Ort_Wohnsitz],A27,tbl_Ferienaufenthalt_SO[KLV B])/60,"")</f>
        <v/>
      </c>
      <c r="G27" s="118" t="str">
        <f>IF(A27&lt;&gt;"",SUMIF(tbl_Ferienaufenthalt_SO[Ort_Wohnsitz],A27,tbl_Ferienaufenthalt_SO[KLV C])/60,"")</f>
        <v/>
      </c>
      <c r="H27" s="118">
        <f t="shared" si="0"/>
        <v>0</v>
      </c>
      <c r="I27" s="118" t="str">
        <f>IF(A27&lt;&gt;"",SUMIF(tbl_Ferienaufenthalt_SO[Ort_Wohnsitz],A27,tbl_Ferienaufenthalt_SO[KLV A Kosten]),"")</f>
        <v/>
      </c>
      <c r="J27" s="118" t="str">
        <f>IF(A27&lt;&gt;"",SUMIF(tbl_Ferienaufenthalt_SO[Ort_Wohnsitz],A27,tbl_Ferienaufenthalt_SO[KLV B Kosten]),"")</f>
        <v/>
      </c>
      <c r="K27" s="118" t="str">
        <f>IF(A27&lt;&gt;"",SUMIF(tbl_Ferienaufenthalt_SO[Ort_Wohnsitz],A27,tbl_Ferienaufenthalt_SO[KLV C Kosten]),"")</f>
        <v/>
      </c>
      <c r="L27" s="219">
        <f t="shared" si="1"/>
        <v>0</v>
      </c>
      <c r="M27" s="222" t="str">
        <f>IF(A27&lt;&gt;"",SUMIF(tbl_Ferienaufenthalt_SO[Ort_Wohnsitz],A27,tbl_Ferienaufenthalt_SO[Mittel und Gegenstände (max. MiGeL) Einstandspreise]),"")</f>
        <v/>
      </c>
      <c r="O27" s="92"/>
      <c r="P27" s="92"/>
      <c r="Q27" s="92"/>
      <c r="R27" s="92"/>
    </row>
    <row r="28" spans="1:18" s="125" customFormat="1" x14ac:dyDescent="0.25">
      <c r="A28" s="135" t="str">
        <f>IFERROR(INDEX('Ferienaufenthalt SO'!$H:$H,_xlfn.AGGREGATE(15,6,ROW(tbl_Ferienaufenthalt_SO[Ort_Wohnsitz])/(tbl_Ferienaufenthalt_SO[Vorkommen]=1),ROW()-15)),"")</f>
        <v/>
      </c>
      <c r="B28" s="136" t="str">
        <f>IF(A28&lt;&gt;"",SUMIF(tbl_Ferienaufenthalt_SO[Ort_Wohnsitz],A28,tbl_Ferienaufenthalt_SO[Anzahl Pflegetage]),"")</f>
        <v/>
      </c>
      <c r="C28" s="118" t="str">
        <f>IF(A28&lt;&gt;"",SUMIF(tbl_Ferienaufenthalt_SO[Ort_Wohnsitz],A28,tbl_Ferienaufenthalt_SO[Patienten Beteiligung]),"")</f>
        <v/>
      </c>
      <c r="D28" s="118"/>
      <c r="E28" s="118" t="str">
        <f>IF(A28&lt;&gt;"",SUMIF(tbl_Ferienaufenthalt_SO[Ort_Wohnsitz],A28,tbl_Ferienaufenthalt_SO[KLV A])/60,"")</f>
        <v/>
      </c>
      <c r="F28" s="118" t="str">
        <f>IF(A28&lt;&gt;"",SUMIF(tbl_Ferienaufenthalt_SO[Ort_Wohnsitz],A28,tbl_Ferienaufenthalt_SO[KLV B])/60,"")</f>
        <v/>
      </c>
      <c r="G28" s="118" t="str">
        <f>IF(A28&lt;&gt;"",SUMIF(tbl_Ferienaufenthalt_SO[Ort_Wohnsitz],A28,tbl_Ferienaufenthalt_SO[KLV C])/60,"")</f>
        <v/>
      </c>
      <c r="H28" s="118">
        <f t="shared" si="0"/>
        <v>0</v>
      </c>
      <c r="I28" s="118" t="str">
        <f>IF(A28&lt;&gt;"",SUMIF(tbl_Ferienaufenthalt_SO[Ort_Wohnsitz],A28,tbl_Ferienaufenthalt_SO[KLV A Kosten]),"")</f>
        <v/>
      </c>
      <c r="J28" s="118" t="str">
        <f>IF(A28&lt;&gt;"",SUMIF(tbl_Ferienaufenthalt_SO[Ort_Wohnsitz],A28,tbl_Ferienaufenthalt_SO[KLV B Kosten]),"")</f>
        <v/>
      </c>
      <c r="K28" s="118" t="str">
        <f>IF(A28&lt;&gt;"",SUMIF(tbl_Ferienaufenthalt_SO[Ort_Wohnsitz],A28,tbl_Ferienaufenthalt_SO[KLV C Kosten]),"")</f>
        <v/>
      </c>
      <c r="L28" s="219">
        <f t="shared" si="1"/>
        <v>0</v>
      </c>
      <c r="M28" s="222" t="str">
        <f>IF(A28&lt;&gt;"",SUMIF(tbl_Ferienaufenthalt_SO[Ort_Wohnsitz],A28,tbl_Ferienaufenthalt_SO[Mittel und Gegenstände (max. MiGeL) Einstandspreise]),"")</f>
        <v/>
      </c>
      <c r="O28" s="92"/>
      <c r="P28" s="92"/>
      <c r="Q28" s="92"/>
      <c r="R28" s="92"/>
    </row>
    <row r="29" spans="1:18" s="125" customFormat="1" x14ac:dyDescent="0.25">
      <c r="A29" s="135" t="str">
        <f>IFERROR(INDEX('Ferienaufenthalt SO'!$H:$H,_xlfn.AGGREGATE(15,6,ROW(tbl_Ferienaufenthalt_SO[Ort_Wohnsitz])/(tbl_Ferienaufenthalt_SO[Vorkommen]=1),ROW()-15)),"")</f>
        <v/>
      </c>
      <c r="B29" s="136" t="str">
        <f>IF(A29&lt;&gt;"",SUMIF(tbl_Ferienaufenthalt_SO[Ort_Wohnsitz],A29,tbl_Ferienaufenthalt_SO[Anzahl Pflegetage]),"")</f>
        <v/>
      </c>
      <c r="C29" s="118" t="str">
        <f>IF(A29&lt;&gt;"",SUMIF(tbl_Ferienaufenthalt_SO[Ort_Wohnsitz],A29,tbl_Ferienaufenthalt_SO[Patienten Beteiligung]),"")</f>
        <v/>
      </c>
      <c r="D29" s="118"/>
      <c r="E29" s="118" t="str">
        <f>IF(A29&lt;&gt;"",SUMIF(tbl_Ferienaufenthalt_SO[Ort_Wohnsitz],A29,tbl_Ferienaufenthalt_SO[KLV A])/60,"")</f>
        <v/>
      </c>
      <c r="F29" s="118" t="str">
        <f>IF(A29&lt;&gt;"",SUMIF(tbl_Ferienaufenthalt_SO[Ort_Wohnsitz],A29,tbl_Ferienaufenthalt_SO[KLV B])/60,"")</f>
        <v/>
      </c>
      <c r="G29" s="118" t="str">
        <f>IF(A29&lt;&gt;"",SUMIF(tbl_Ferienaufenthalt_SO[Ort_Wohnsitz],A29,tbl_Ferienaufenthalt_SO[KLV C])/60,"")</f>
        <v/>
      </c>
      <c r="H29" s="118">
        <f t="shared" si="0"/>
        <v>0</v>
      </c>
      <c r="I29" s="118" t="str">
        <f>IF(A29&lt;&gt;"",SUMIF(tbl_Ferienaufenthalt_SO[Ort_Wohnsitz],A29,tbl_Ferienaufenthalt_SO[KLV A Kosten]),"")</f>
        <v/>
      </c>
      <c r="J29" s="118" t="str">
        <f>IF(A29&lt;&gt;"",SUMIF(tbl_Ferienaufenthalt_SO[Ort_Wohnsitz],A29,tbl_Ferienaufenthalt_SO[KLV B Kosten]),"")</f>
        <v/>
      </c>
      <c r="K29" s="118" t="str">
        <f>IF(A29&lt;&gt;"",SUMIF(tbl_Ferienaufenthalt_SO[Ort_Wohnsitz],A29,tbl_Ferienaufenthalt_SO[KLV C Kosten]),"")</f>
        <v/>
      </c>
      <c r="L29" s="219">
        <f t="shared" si="1"/>
        <v>0</v>
      </c>
      <c r="M29" s="222" t="str">
        <f>IF(A29&lt;&gt;"",SUMIF(tbl_Ferienaufenthalt_SO[Ort_Wohnsitz],A29,tbl_Ferienaufenthalt_SO[Mittel und Gegenstände (max. MiGeL) Einstandspreise]),"")</f>
        <v/>
      </c>
      <c r="O29" s="92"/>
      <c r="P29" s="92"/>
      <c r="Q29" s="92"/>
      <c r="R29" s="92"/>
    </row>
    <row r="30" spans="1:18" s="125" customFormat="1" ht="15.75" thickBot="1" x14ac:dyDescent="0.3">
      <c r="A30" s="137" t="str">
        <f>IFERROR(INDEX('Ferienaufenthalt SO'!$H:$H,_xlfn.AGGREGATE(15,6,ROW(tbl_Ferienaufenthalt_SO[Ort_Wohnsitz])/(tbl_Ferienaufenthalt_SO[Vorkommen]=1),ROW()-15)),"")</f>
        <v/>
      </c>
      <c r="B30" s="138" t="str">
        <f>IF(A30&lt;&gt;"",SUMIF(tbl_Ferienaufenthalt_SO[Ort_Wohnsitz],A30,tbl_Ferienaufenthalt_SO[Anzahl Pflegetage]),"")</f>
        <v/>
      </c>
      <c r="C30" s="139" t="str">
        <f>IF(A30&lt;&gt;"",SUMIF(tbl_Ferienaufenthalt_SO[Ort_Wohnsitz],A30,tbl_Ferienaufenthalt_SO[Patienten Beteiligung]),"")</f>
        <v/>
      </c>
      <c r="D30" s="139"/>
      <c r="E30" s="213" t="str">
        <f>IF(A30&lt;&gt;"",SUMIF(tbl_Ferienaufenthalt_SO[Ort_Wohnsitz],A30,tbl_Ferienaufenthalt_SO[KLV A])/60,"")</f>
        <v/>
      </c>
      <c r="F30" s="213" t="str">
        <f>IF(A30&lt;&gt;"",SUMIF(tbl_Ferienaufenthalt_SO[Ort_Wohnsitz],A30,tbl_Ferienaufenthalt_SO[KLV B])/60,"")</f>
        <v/>
      </c>
      <c r="G30" s="213" t="str">
        <f>IF(A30&lt;&gt;"",SUMIF(tbl_Ferienaufenthalt_SO[Ort_Wohnsitz],A30,tbl_Ferienaufenthalt_SO[KLV C])/60,"")</f>
        <v/>
      </c>
      <c r="H30" s="139">
        <f t="shared" si="0"/>
        <v>0</v>
      </c>
      <c r="I30" s="139" t="str">
        <f>IF(A30&lt;&gt;"",SUMIF(tbl_Ferienaufenthalt_SO[Ort_Wohnsitz],A30,tbl_Ferienaufenthalt_SO[KLV A Kosten]),"")</f>
        <v/>
      </c>
      <c r="J30" s="139" t="str">
        <f>IF(A30&lt;&gt;"",SUMIF(tbl_Ferienaufenthalt_SO[Ort_Wohnsitz],A30,tbl_Ferienaufenthalt_SO[KLV B Kosten]),"")</f>
        <v/>
      </c>
      <c r="K30" s="139" t="str">
        <f>IF(A30&lt;&gt;"",SUMIF(tbl_Ferienaufenthalt_SO[Ort_Wohnsitz],A30,tbl_Ferienaufenthalt_SO[KLV C Kosten]),"")</f>
        <v/>
      </c>
      <c r="L30" s="220">
        <f t="shared" si="1"/>
        <v>0</v>
      </c>
      <c r="M30" s="223" t="str">
        <f>IF(A30&lt;&gt;"",SUMIF(tbl_Ferienaufenthalt_SO[Ort_Wohnsitz],A30,tbl_Ferienaufenthalt_SO[Mittel und Gegenstände (max. MiGeL) Einstandspreise]),"")</f>
        <v/>
      </c>
      <c r="O30" s="92"/>
      <c r="P30" s="92"/>
      <c r="Q30" s="92"/>
      <c r="R30" s="92"/>
    </row>
    <row r="32" spans="1:18" ht="15.75" thickBot="1" x14ac:dyDescent="0.3"/>
    <row r="33" spans="1:14" ht="19.5" thickBot="1" x14ac:dyDescent="0.35">
      <c r="A33" s="234" t="s">
        <v>183</v>
      </c>
      <c r="B33" s="235"/>
      <c r="C33" s="235"/>
      <c r="D33" s="235"/>
      <c r="E33" s="235"/>
      <c r="F33" s="235"/>
      <c r="G33" s="235"/>
      <c r="H33" s="235"/>
      <c r="I33" s="235"/>
      <c r="J33" s="235"/>
      <c r="K33" s="333">
        <f>ROUND(SUM(L16:L30)*20,)/20</f>
        <v>0</v>
      </c>
      <c r="L33" s="334"/>
    </row>
    <row r="34" spans="1:14" ht="19.5" thickBot="1" x14ac:dyDescent="0.35">
      <c r="A34" s="172" t="s">
        <v>298</v>
      </c>
      <c r="B34" s="173"/>
      <c r="C34" s="173"/>
      <c r="D34" s="173"/>
      <c r="E34" s="173"/>
      <c r="F34" s="173"/>
      <c r="G34" s="173"/>
      <c r="H34" s="173"/>
      <c r="I34" s="173"/>
      <c r="J34" s="173"/>
      <c r="K34" s="335">
        <f>ROUND(SUM(M16:M30)*20,)/20</f>
        <v>0</v>
      </c>
      <c r="L34" s="335"/>
      <c r="M34" s="336"/>
    </row>
    <row r="37" spans="1:14" ht="20.25" x14ac:dyDescent="0.3">
      <c r="A37" s="84" t="s">
        <v>184</v>
      </c>
      <c r="B37" s="84"/>
      <c r="C37" s="84"/>
      <c r="D37" s="84"/>
      <c r="E37" s="84"/>
      <c r="F37" s="84"/>
      <c r="G37" s="84"/>
      <c r="H37" s="84"/>
      <c r="I37" s="84"/>
      <c r="J37" s="84"/>
      <c r="K37" s="84"/>
      <c r="L37" s="84"/>
    </row>
    <row r="38" spans="1:14" ht="20.25" x14ac:dyDescent="0.3">
      <c r="A38" s="278" t="s">
        <v>187</v>
      </c>
      <c r="B38" s="278"/>
      <c r="C38" s="278"/>
      <c r="D38" s="278"/>
      <c r="E38" s="278"/>
      <c r="F38" s="278"/>
      <c r="G38" s="278"/>
      <c r="H38" s="278"/>
      <c r="I38" s="278"/>
      <c r="J38" s="278"/>
      <c r="K38" s="278"/>
      <c r="L38" s="278"/>
    </row>
    <row r="39" spans="1:14" ht="20.25" x14ac:dyDescent="0.3">
      <c r="A39" s="278" t="s">
        <v>188</v>
      </c>
      <c r="B39" s="278"/>
      <c r="C39" s="278"/>
      <c r="D39" s="278"/>
      <c r="E39" s="278"/>
      <c r="F39" s="278"/>
      <c r="G39" s="278"/>
      <c r="H39" s="278"/>
      <c r="I39" s="278"/>
      <c r="J39" s="278"/>
      <c r="K39" s="278"/>
      <c r="L39" s="278"/>
    </row>
    <row r="40" spans="1:14" ht="20.25" x14ac:dyDescent="0.3">
      <c r="A40" s="278" t="s">
        <v>189</v>
      </c>
      <c r="B40" s="278"/>
      <c r="C40" s="278"/>
      <c r="D40" s="278"/>
      <c r="E40" s="278"/>
      <c r="F40" s="278"/>
      <c r="G40" s="278"/>
      <c r="H40" s="278"/>
      <c r="I40" s="278"/>
      <c r="J40" s="278"/>
      <c r="K40" s="278"/>
      <c r="L40" s="278"/>
      <c r="N40" s="92"/>
    </row>
    <row r="41" spans="1:14" ht="20.25" x14ac:dyDescent="0.3">
      <c r="A41" s="278" t="s">
        <v>190</v>
      </c>
      <c r="B41" s="278"/>
      <c r="C41" s="278"/>
      <c r="D41" s="278"/>
      <c r="E41" s="278"/>
      <c r="F41" s="278"/>
      <c r="G41" s="278"/>
      <c r="H41" s="278"/>
      <c r="I41" s="278"/>
      <c r="J41" s="278"/>
      <c r="K41" s="278"/>
      <c r="L41" s="278"/>
      <c r="N41" s="92"/>
    </row>
    <row r="42" spans="1:14" ht="20.25" x14ac:dyDescent="0.3">
      <c r="A42" s="278" t="s">
        <v>291</v>
      </c>
      <c r="B42" s="278"/>
      <c r="C42" s="278"/>
      <c r="D42" s="278"/>
      <c r="E42" s="278"/>
      <c r="F42" s="278"/>
      <c r="G42" s="278"/>
      <c r="H42" s="278"/>
      <c r="I42" s="278"/>
      <c r="J42" s="278"/>
      <c r="K42" s="278"/>
      <c r="L42" s="278"/>
      <c r="N42" s="92"/>
    </row>
    <row r="43" spans="1:14" ht="20.25" x14ac:dyDescent="0.3">
      <c r="A43" s="278"/>
      <c r="B43" s="278"/>
      <c r="C43" s="278"/>
      <c r="D43" s="278"/>
      <c r="E43" s="278"/>
      <c r="F43" s="278"/>
      <c r="G43" s="278"/>
      <c r="H43" s="278"/>
      <c r="I43" s="278"/>
      <c r="J43" s="278"/>
      <c r="K43" s="278"/>
      <c r="L43" s="278"/>
      <c r="N43" s="92"/>
    </row>
    <row r="44" spans="1:14" ht="20.25" x14ac:dyDescent="0.3">
      <c r="A44" s="142"/>
      <c r="B44" s="142"/>
      <c r="C44" s="142"/>
      <c r="D44" s="142"/>
      <c r="E44" s="142"/>
      <c r="F44" s="142"/>
      <c r="G44" s="142"/>
      <c r="H44" s="142"/>
      <c r="I44" s="142"/>
      <c r="J44" s="142"/>
      <c r="K44" s="142"/>
      <c r="L44" s="142"/>
      <c r="N44" s="92"/>
    </row>
    <row r="45" spans="1:14" ht="42.75" customHeight="1" x14ac:dyDescent="0.25">
      <c r="A45" s="292" t="s">
        <v>292</v>
      </c>
      <c r="B45" s="292"/>
      <c r="C45" s="292"/>
      <c r="D45" s="292"/>
      <c r="E45" s="292"/>
      <c r="F45" s="292"/>
      <c r="G45" s="292"/>
      <c r="H45" s="292"/>
      <c r="I45" s="292"/>
      <c r="J45" s="292"/>
      <c r="K45" s="292"/>
      <c r="L45" s="292"/>
      <c r="M45" s="292"/>
    </row>
    <row r="47" spans="1:14" ht="20.25" x14ac:dyDescent="0.25">
      <c r="A47" s="286" t="s">
        <v>185</v>
      </c>
      <c r="B47" s="286"/>
      <c r="C47" s="286"/>
      <c r="D47" s="286"/>
      <c r="E47" s="286"/>
      <c r="F47" s="286"/>
      <c r="G47" s="286"/>
      <c r="H47" s="286"/>
      <c r="I47" s="286"/>
      <c r="J47" s="286"/>
      <c r="K47" s="286"/>
      <c r="L47" s="286"/>
    </row>
    <row r="48" spans="1:14" ht="20.25" x14ac:dyDescent="0.3">
      <c r="A48" s="85"/>
      <c r="B48" s="86"/>
      <c r="C48" s="86"/>
      <c r="D48" s="86"/>
      <c r="E48" s="85"/>
      <c r="F48" s="142"/>
      <c r="G48" s="142"/>
      <c r="H48" s="142"/>
      <c r="I48" s="142"/>
      <c r="J48" s="142"/>
      <c r="K48" s="142"/>
      <c r="L48" s="142"/>
    </row>
    <row r="49" spans="1:12" ht="20.25" x14ac:dyDescent="0.3">
      <c r="A49" s="85" t="s">
        <v>186</v>
      </c>
      <c r="B49" s="86"/>
      <c r="C49" s="86"/>
      <c r="D49" s="86"/>
      <c r="E49" s="85"/>
      <c r="F49" s="142"/>
      <c r="G49" s="142"/>
      <c r="H49" s="142"/>
      <c r="I49" s="142"/>
      <c r="J49" s="142"/>
      <c r="K49" s="142"/>
      <c r="L49" s="142"/>
    </row>
    <row r="50" spans="1:12" ht="20.25" x14ac:dyDescent="0.3">
      <c r="A50" s="85"/>
      <c r="B50" s="86"/>
      <c r="C50" s="86"/>
      <c r="D50" s="86"/>
      <c r="E50" s="85"/>
      <c r="F50" s="142"/>
      <c r="G50" s="142"/>
      <c r="H50" s="142"/>
      <c r="I50" s="142"/>
      <c r="J50" s="142"/>
      <c r="K50" s="142"/>
      <c r="L50" s="142"/>
    </row>
    <row r="51" spans="1:12" ht="20.25" x14ac:dyDescent="0.3">
      <c r="A51" s="85"/>
      <c r="B51" s="86"/>
      <c r="C51" s="87"/>
      <c r="D51" s="87"/>
      <c r="E51" s="85"/>
      <c r="F51" s="142"/>
      <c r="G51" s="142"/>
      <c r="H51" s="142"/>
      <c r="I51" s="142"/>
      <c r="J51" s="142"/>
      <c r="K51" s="142"/>
      <c r="L51" s="142"/>
    </row>
    <row r="52" spans="1:12" ht="20.25" x14ac:dyDescent="0.3">
      <c r="A52" s="88"/>
      <c r="B52" s="87"/>
      <c r="C52" s="87"/>
      <c r="D52" s="87"/>
      <c r="E52" s="88"/>
      <c r="F52" s="142"/>
      <c r="G52" s="142"/>
      <c r="H52" s="142"/>
      <c r="I52" s="142"/>
      <c r="J52" s="142"/>
      <c r="K52" s="142"/>
      <c r="L52" s="142"/>
    </row>
    <row r="53" spans="1:12" ht="20.25" x14ac:dyDescent="0.3">
      <c r="A53" s="143"/>
      <c r="B53" s="143"/>
      <c r="C53" s="143"/>
      <c r="D53" s="143"/>
      <c r="E53" s="143"/>
      <c r="F53" s="143"/>
      <c r="G53" s="143"/>
      <c r="H53" s="142"/>
      <c r="I53" s="142"/>
      <c r="J53" s="142"/>
      <c r="K53" s="142"/>
      <c r="L53" s="142"/>
    </row>
    <row r="59" spans="1:12" ht="20.25" x14ac:dyDescent="0.3">
      <c r="A59" s="85" t="s">
        <v>294</v>
      </c>
    </row>
  </sheetData>
  <sheetProtection password="D46B" sheet="1" objects="1" scenarios="1"/>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R16" sqref="R16"/>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6"/>
    </row>
    <row r="3" spans="2:11" ht="15.75" x14ac:dyDescent="0.25">
      <c r="B3" s="67" t="s">
        <v>160</v>
      </c>
      <c r="C3" s="54"/>
      <c r="D3" s="54"/>
      <c r="E3" s="54"/>
      <c r="F3" s="54"/>
      <c r="G3" s="54"/>
      <c r="H3" s="54"/>
      <c r="I3" s="54"/>
      <c r="J3" s="54"/>
      <c r="K3" s="250">
        <f>Wohnsitz!H1</f>
        <v>2020</v>
      </c>
    </row>
    <row r="6" spans="2:11" ht="15.75" x14ac:dyDescent="0.25">
      <c r="B6" s="10" t="s">
        <v>0</v>
      </c>
      <c r="C6" s="13"/>
      <c r="D6" s="13"/>
      <c r="E6" s="13"/>
      <c r="F6" s="13"/>
      <c r="G6" s="13"/>
      <c r="H6" s="13"/>
      <c r="I6" s="13"/>
      <c r="J6" s="13"/>
    </row>
    <row r="7" spans="2:11" ht="15.75" x14ac:dyDescent="0.25">
      <c r="B7" s="13" t="s">
        <v>1</v>
      </c>
      <c r="C7" s="13"/>
      <c r="D7" s="276"/>
      <c r="E7" s="276"/>
      <c r="F7" s="276"/>
      <c r="G7" s="13" t="s">
        <v>4</v>
      </c>
      <c r="H7" s="13"/>
      <c r="I7" s="276"/>
      <c r="J7" s="276"/>
      <c r="K7" s="276"/>
    </row>
    <row r="8" spans="2:11" ht="15.75" x14ac:dyDescent="0.25">
      <c r="B8" s="13" t="s">
        <v>2</v>
      </c>
      <c r="C8" s="13"/>
      <c r="D8" s="276"/>
      <c r="E8" s="276"/>
      <c r="F8" s="276"/>
      <c r="G8" s="13" t="s">
        <v>5</v>
      </c>
      <c r="H8" s="13"/>
      <c r="I8" s="276"/>
      <c r="J8" s="276"/>
      <c r="K8" s="276"/>
    </row>
    <row r="9" spans="2:11" ht="15.75" x14ac:dyDescent="0.25">
      <c r="B9" s="13" t="s">
        <v>3</v>
      </c>
      <c r="C9" s="13"/>
      <c r="D9" s="276"/>
      <c r="E9" s="276"/>
      <c r="F9" s="276"/>
      <c r="G9" s="13" t="s">
        <v>6</v>
      </c>
      <c r="H9" s="13"/>
      <c r="I9" s="276"/>
      <c r="J9" s="276"/>
      <c r="K9" s="276"/>
    </row>
    <row r="10" spans="2:11" ht="15.75" x14ac:dyDescent="0.25">
      <c r="B10" s="13" t="s">
        <v>9</v>
      </c>
      <c r="C10" s="13"/>
      <c r="D10" s="276"/>
      <c r="E10" s="276"/>
      <c r="F10" s="276"/>
      <c r="G10" s="13" t="s">
        <v>7</v>
      </c>
      <c r="H10" s="13"/>
      <c r="I10" s="276"/>
      <c r="J10" s="276"/>
      <c r="K10" s="276"/>
    </row>
    <row r="11" spans="2:11" ht="15.75" x14ac:dyDescent="0.25">
      <c r="B11" s="13" t="s">
        <v>10</v>
      </c>
      <c r="C11" s="13"/>
      <c r="D11" s="276"/>
      <c r="E11" s="276"/>
      <c r="F11" s="276"/>
      <c r="G11" s="13" t="s">
        <v>147</v>
      </c>
      <c r="H11" s="13"/>
      <c r="I11" s="276"/>
      <c r="J11" s="276"/>
      <c r="K11" s="276"/>
    </row>
    <row r="12" spans="2:11" ht="15.75" x14ac:dyDescent="0.25">
      <c r="F12" s="13"/>
      <c r="G12" s="13" t="s">
        <v>156</v>
      </c>
      <c r="H12" s="13"/>
      <c r="I12" s="276"/>
      <c r="J12" s="276"/>
      <c r="K12" s="276"/>
    </row>
    <row r="13" spans="2:11" ht="15.75" x14ac:dyDescent="0.25">
      <c r="F13" s="13"/>
      <c r="G13" s="303" t="s">
        <v>299</v>
      </c>
      <c r="H13" s="303"/>
      <c r="I13" s="303"/>
    </row>
    <row r="14" spans="2:11" ht="15.75" x14ac:dyDescent="0.25">
      <c r="B14" s="43" t="s">
        <v>143</v>
      </c>
      <c r="C14" s="43"/>
      <c r="E14" s="175" t="s">
        <v>182</v>
      </c>
      <c r="F14" s="59"/>
      <c r="G14" s="303"/>
      <c r="H14" s="303"/>
      <c r="I14" s="303"/>
      <c r="J14" s="174" t="s">
        <v>162</v>
      </c>
    </row>
    <row r="17" spans="2:13" ht="15.75" x14ac:dyDescent="0.25">
      <c r="B17" s="44" t="s">
        <v>142</v>
      </c>
      <c r="C17" s="45"/>
      <c r="D17" s="45"/>
      <c r="E17" s="46"/>
      <c r="F17" s="46"/>
      <c r="G17" s="47"/>
      <c r="H17" s="47"/>
      <c r="I17" s="14"/>
      <c r="J17" s="14"/>
      <c r="K17" s="14"/>
      <c r="L17" s="14"/>
      <c r="M17" s="14"/>
    </row>
    <row r="18" spans="2:13" ht="15.75" x14ac:dyDescent="0.2">
      <c r="B18" s="293" t="s">
        <v>2</v>
      </c>
      <c r="C18" s="295"/>
      <c r="D18" s="293" t="s">
        <v>3</v>
      </c>
      <c r="E18" s="293"/>
      <c r="F18" s="72" t="s">
        <v>153</v>
      </c>
      <c r="G18" s="301" t="s">
        <v>141</v>
      </c>
      <c r="H18" s="302"/>
      <c r="I18" s="72" t="s">
        <v>5</v>
      </c>
      <c r="J18" s="293" t="s">
        <v>6</v>
      </c>
      <c r="K18" s="293"/>
      <c r="L18" s="48" t="s">
        <v>140</v>
      </c>
      <c r="M18" s="49"/>
    </row>
    <row r="19" spans="2:13" ht="15" x14ac:dyDescent="0.2">
      <c r="B19" s="337"/>
      <c r="C19" s="337"/>
      <c r="D19" s="337"/>
      <c r="E19" s="337"/>
      <c r="F19" s="251"/>
      <c r="G19" s="337"/>
      <c r="H19" s="337"/>
      <c r="I19" s="252"/>
      <c r="J19" s="337"/>
      <c r="K19" s="337"/>
      <c r="L19" s="338"/>
      <c r="M19" s="339"/>
    </row>
    <row r="20" spans="2:13" ht="15.75" x14ac:dyDescent="0.25">
      <c r="B20" s="13"/>
      <c r="C20" s="26"/>
      <c r="D20" s="26"/>
      <c r="E20" s="26"/>
      <c r="F20" s="57"/>
      <c r="G20" s="26"/>
      <c r="H20" s="26"/>
      <c r="I20" s="26"/>
      <c r="J20" s="26"/>
      <c r="K20" s="26"/>
      <c r="L20" s="58"/>
      <c r="M20" s="58"/>
    </row>
    <row r="21" spans="2:13" ht="15.75" x14ac:dyDescent="0.25">
      <c r="B21" s="50" t="s">
        <v>154</v>
      </c>
      <c r="C21" s="51"/>
      <c r="D21" s="52"/>
      <c r="E21" s="52"/>
      <c r="F21" s="53"/>
      <c r="G21" s="300"/>
      <c r="H21" s="300"/>
      <c r="I21" s="26"/>
      <c r="J21" s="26"/>
      <c r="K21" s="52"/>
      <c r="L21" s="52"/>
      <c r="M21" s="13"/>
    </row>
    <row r="22" spans="2:13" ht="15.75" x14ac:dyDescent="0.25">
      <c r="B22" s="293" t="s">
        <v>2</v>
      </c>
      <c r="C22" s="295"/>
      <c r="D22" s="293" t="s">
        <v>3</v>
      </c>
      <c r="E22" s="293"/>
      <c r="F22" s="72"/>
      <c r="G22" s="301" t="s">
        <v>141</v>
      </c>
      <c r="H22" s="302"/>
      <c r="I22" s="72" t="s">
        <v>5</v>
      </c>
      <c r="J22" s="293" t="s">
        <v>6</v>
      </c>
      <c r="K22" s="293"/>
      <c r="L22" s="13"/>
      <c r="M22" s="13"/>
    </row>
    <row r="23" spans="2:13" ht="15.75" x14ac:dyDescent="0.25">
      <c r="B23" s="337"/>
      <c r="C23" s="337"/>
      <c r="D23" s="337"/>
      <c r="E23" s="337"/>
      <c r="F23" s="251"/>
      <c r="G23" s="337"/>
      <c r="H23" s="337"/>
      <c r="I23" s="252"/>
      <c r="J23" s="337"/>
      <c r="K23" s="337"/>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163</v>
      </c>
      <c r="G26" s="32" t="s">
        <v>164</v>
      </c>
      <c r="H26" s="33" t="s">
        <v>165</v>
      </c>
      <c r="I26" s="33" t="s">
        <v>166</v>
      </c>
      <c r="J26" s="60" t="s">
        <v>168</v>
      </c>
      <c r="K26" s="83" t="s">
        <v>167</v>
      </c>
      <c r="L26" s="83" t="s">
        <v>169</v>
      </c>
      <c r="M26" s="34" t="s">
        <v>170</v>
      </c>
    </row>
    <row r="27" spans="2:13" x14ac:dyDescent="0.2">
      <c r="B27" s="31" t="s">
        <v>157</v>
      </c>
      <c r="C27" s="40"/>
      <c r="D27" s="40"/>
      <c r="E27" s="41"/>
      <c r="F27" s="36">
        <v>117.1</v>
      </c>
      <c r="G27" s="36">
        <v>79.8</v>
      </c>
      <c r="H27" s="36">
        <v>15.95</v>
      </c>
      <c r="I27" s="36">
        <v>14</v>
      </c>
      <c r="J27" s="241" t="str">
        <f>IFERROR(IF(IFERROR(MATCH($D$7&amp;$J23,Tabelle2[Codierung],0),0)&gt;0,VLOOKUP(J23,Tabelle1[[Ort]:[RK KLV C üD]],2,),VLOOKUP(J23,Tabelle1[[Ort]:[RK KLV C üD]],5)),"")</f>
        <v/>
      </c>
      <c r="K27" s="145">
        <v>10</v>
      </c>
      <c r="L27" s="145">
        <v>99</v>
      </c>
      <c r="M27" s="37" t="e">
        <f>SUM(J27*K27)/60</f>
        <v>#VALUE!</v>
      </c>
    </row>
    <row r="28" spans="2:13" x14ac:dyDescent="0.2">
      <c r="B28" s="31" t="s">
        <v>158</v>
      </c>
      <c r="C28" s="40"/>
      <c r="D28" s="40"/>
      <c r="E28" s="41"/>
      <c r="F28" s="36">
        <v>100.1</v>
      </c>
      <c r="G28" s="36">
        <v>65.400000000000006</v>
      </c>
      <c r="H28" s="36">
        <v>15.95</v>
      </c>
      <c r="I28" s="36">
        <v>14</v>
      </c>
      <c r="J28" s="241" t="str">
        <f>IFERROR(IF(IFERROR(MATCH($D$7&amp;$J23,Tabelle2[Codierung],0),0)&gt;0,VLOOKUP(J23,Tabelle1[[Ort]:[RK KLV C üD]],3,),VLOOKUP(J23,Tabelle1[[Ort]:[RK KLV C üD]],6)),"")</f>
        <v/>
      </c>
      <c r="K28" s="145"/>
      <c r="L28" s="145"/>
      <c r="M28" s="37" t="e">
        <f>SUM(J28*K28)/60</f>
        <v>#VALUE!</v>
      </c>
    </row>
    <row r="29" spans="2:13" x14ac:dyDescent="0.2">
      <c r="B29" s="31" t="s">
        <v>159</v>
      </c>
      <c r="C29" s="40"/>
      <c r="D29" s="40"/>
      <c r="E29" s="41"/>
      <c r="F29" s="36">
        <v>87.8</v>
      </c>
      <c r="G29" s="36">
        <v>54.6</v>
      </c>
      <c r="H29" s="36">
        <v>15.95</v>
      </c>
      <c r="I29" s="36">
        <v>14</v>
      </c>
      <c r="J29" s="241" t="str">
        <f>IFERROR(IF(IFERROR(MATCH($D$7&amp;$J23,Tabelle2[Codierung],0),0)&gt;0,VLOOKUP(J23,Tabelle1[[Ort]:[RK KLV C üD]],4,),VLOOKUP(J23,Tabelle1[[Ort]:[RK KLV C üD]],7)),"")</f>
        <v/>
      </c>
      <c r="K29" s="145"/>
      <c r="L29" s="145"/>
      <c r="M29" s="37" t="e">
        <f>SUM(J29*K29)/60</f>
        <v>#VALUE!</v>
      </c>
    </row>
    <row r="30" spans="2:13" x14ac:dyDescent="0.2">
      <c r="B30" s="31" t="s">
        <v>212</v>
      </c>
      <c r="C30" s="40"/>
      <c r="D30" s="40"/>
      <c r="E30" s="41"/>
      <c r="F30" s="36">
        <v>12</v>
      </c>
      <c r="G30" s="36"/>
      <c r="H30" s="36"/>
      <c r="I30" s="36"/>
      <c r="J30" s="241">
        <v>12</v>
      </c>
      <c r="K30" s="240"/>
      <c r="L30" s="145"/>
      <c r="M30" s="37">
        <f>SUM(F30*L30)</f>
        <v>0</v>
      </c>
    </row>
    <row r="31" spans="2:13" x14ac:dyDescent="0.2">
      <c r="B31" s="31" t="s">
        <v>283</v>
      </c>
      <c r="C31" s="40"/>
      <c r="D31" s="40"/>
      <c r="E31" s="41"/>
      <c r="F31" s="36">
        <v>0.8</v>
      </c>
      <c r="G31" s="36"/>
      <c r="H31" s="36"/>
      <c r="I31" s="36"/>
      <c r="J31" s="242">
        <v>0.8</v>
      </c>
      <c r="K31" s="145">
        <f>K27+K28+K29</f>
        <v>10</v>
      </c>
      <c r="L31" s="240"/>
      <c r="M31" s="37">
        <f>SUM(J31*K31)/60</f>
        <v>0.13333333333333333</v>
      </c>
    </row>
    <row r="32" spans="2:13" x14ac:dyDescent="0.2">
      <c r="B32" s="35" t="s">
        <v>171</v>
      </c>
      <c r="C32" s="42"/>
      <c r="D32" s="42"/>
      <c r="E32" s="42"/>
      <c r="F32" s="37"/>
      <c r="G32" s="37"/>
      <c r="H32" s="37"/>
      <c r="I32" s="37"/>
      <c r="J32" s="37"/>
      <c r="K32" s="37"/>
      <c r="L32" s="37"/>
      <c r="M32" s="38" t="e">
        <f>ROUND((SUM(M27:M31)*20),0)/20</f>
        <v>#VALUE!</v>
      </c>
    </row>
    <row r="33" spans="2:13" x14ac:dyDescent="0.2">
      <c r="B33" s="1" t="s">
        <v>284</v>
      </c>
    </row>
    <row r="34" spans="2:13" ht="346.5" customHeight="1" x14ac:dyDescent="0.2">
      <c r="B34" s="340" t="s">
        <v>282</v>
      </c>
      <c r="C34" s="340"/>
      <c r="D34" s="340"/>
      <c r="E34" s="340"/>
      <c r="F34" s="340"/>
      <c r="G34" s="340"/>
      <c r="H34" s="340"/>
      <c r="I34" s="340"/>
      <c r="J34" s="340"/>
      <c r="K34" s="340"/>
      <c r="L34" s="340"/>
      <c r="M34" s="340"/>
    </row>
  </sheetData>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workbookViewId="0">
      <selection activeCell="J29" sqref="J29"/>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6" t="s">
        <v>220</v>
      </c>
      <c r="K1" s="1" t="s">
        <v>135</v>
      </c>
      <c r="L1" s="1" t="s">
        <v>178</v>
      </c>
      <c r="M1" s="1" t="s">
        <v>136</v>
      </c>
    </row>
    <row r="2" spans="1:13" x14ac:dyDescent="0.2">
      <c r="A2" s="2">
        <v>4714</v>
      </c>
      <c r="B2" s="2" t="s">
        <v>15</v>
      </c>
      <c r="C2" s="1">
        <v>38.130000000000003</v>
      </c>
      <c r="D2" s="1">
        <v>35.07</v>
      </c>
      <c r="E2" s="1">
        <v>32.69</v>
      </c>
      <c r="F2" s="1">
        <v>22.88</v>
      </c>
      <c r="G2" s="1">
        <v>21.04</v>
      </c>
      <c r="H2" s="1">
        <v>19.61</v>
      </c>
      <c r="I2" s="243"/>
      <c r="K2" s="1" t="s">
        <v>230</v>
      </c>
      <c r="L2" s="1" t="s">
        <v>60</v>
      </c>
      <c r="M2" s="1" t="str">
        <f t="shared" ref="M2:M24" si="0">K2&amp;L2</f>
        <v>acura agHimmelried</v>
      </c>
    </row>
    <row r="3" spans="1:13" x14ac:dyDescent="0.2">
      <c r="A3" s="3">
        <v>4556</v>
      </c>
      <c r="B3" s="3" t="s">
        <v>16</v>
      </c>
      <c r="C3" s="1">
        <v>38.130000000000003</v>
      </c>
      <c r="D3" s="1">
        <v>35.07</v>
      </c>
      <c r="E3" s="1">
        <v>32.69</v>
      </c>
      <c r="F3" s="1">
        <v>22.88</v>
      </c>
      <c r="G3" s="1">
        <v>21.04</v>
      </c>
      <c r="H3" s="1">
        <v>19.61</v>
      </c>
      <c r="I3" s="244" t="s">
        <v>16</v>
      </c>
      <c r="K3" s="1" t="s">
        <v>230</v>
      </c>
      <c r="L3" s="1" t="s">
        <v>41</v>
      </c>
      <c r="M3" s="68" t="str">
        <f t="shared" si="0"/>
        <v>acura agErschwil</v>
      </c>
    </row>
    <row r="4" spans="1:13" x14ac:dyDescent="0.2">
      <c r="A4" s="205">
        <v>4583</v>
      </c>
      <c r="B4" s="208" t="s">
        <v>222</v>
      </c>
      <c r="C4" s="1">
        <v>38.130000000000003</v>
      </c>
      <c r="D4" s="1">
        <v>35.07</v>
      </c>
      <c r="E4" s="1">
        <v>32.69</v>
      </c>
      <c r="F4" s="1">
        <v>22.88</v>
      </c>
      <c r="G4" s="1">
        <v>21.04</v>
      </c>
      <c r="H4" s="1">
        <v>19.61</v>
      </c>
      <c r="I4" s="244" t="s">
        <v>221</v>
      </c>
      <c r="K4" s="1" t="s">
        <v>237</v>
      </c>
      <c r="L4" s="1" t="s">
        <v>222</v>
      </c>
      <c r="M4" s="68" t="str">
        <f t="shared" si="0"/>
        <v>Spitex AareAetigkofen</v>
      </c>
    </row>
    <row r="5" spans="1:13" x14ac:dyDescent="0.2">
      <c r="A5" s="205">
        <v>4587</v>
      </c>
      <c r="B5" s="208" t="s">
        <v>114</v>
      </c>
      <c r="C5" s="1">
        <v>38.130000000000003</v>
      </c>
      <c r="D5" s="1">
        <v>35.07</v>
      </c>
      <c r="E5" s="1">
        <v>32.69</v>
      </c>
      <c r="F5" s="1">
        <v>22.88</v>
      </c>
      <c r="G5" s="1">
        <v>21.04</v>
      </c>
      <c r="H5" s="1">
        <v>19.61</v>
      </c>
      <c r="I5" s="244" t="s">
        <v>221</v>
      </c>
      <c r="K5" s="1" t="s">
        <v>237</v>
      </c>
      <c r="L5" s="1" t="s">
        <v>114</v>
      </c>
      <c r="M5" s="68" t="str">
        <f t="shared" si="0"/>
        <v>Spitex AareAetingen</v>
      </c>
    </row>
    <row r="6" spans="1:13" x14ac:dyDescent="0.2">
      <c r="A6" s="3">
        <v>4525</v>
      </c>
      <c r="B6" s="3" t="s">
        <v>17</v>
      </c>
      <c r="C6" s="1">
        <v>38.130000000000003</v>
      </c>
      <c r="D6" s="1">
        <v>35.07</v>
      </c>
      <c r="E6" s="1">
        <v>32.69</v>
      </c>
      <c r="F6" s="1">
        <v>22.88</v>
      </c>
      <c r="G6" s="1">
        <v>21.04</v>
      </c>
      <c r="H6" s="1">
        <v>19.61</v>
      </c>
      <c r="I6" s="243"/>
      <c r="K6" s="206" t="s">
        <v>237</v>
      </c>
      <c r="L6" s="206" t="s">
        <v>17</v>
      </c>
      <c r="M6" s="206" t="str">
        <f t="shared" si="0"/>
        <v>Spitex AareBalm b. Günsberg</v>
      </c>
    </row>
    <row r="7" spans="1:13" x14ac:dyDescent="0.2">
      <c r="A7" s="3">
        <v>4710</v>
      </c>
      <c r="B7" s="3" t="s">
        <v>18</v>
      </c>
      <c r="C7" s="1">
        <v>38.130000000000003</v>
      </c>
      <c r="D7" s="1">
        <v>35.07</v>
      </c>
      <c r="E7" s="1">
        <v>32.69</v>
      </c>
      <c r="F7" s="1">
        <v>22.88</v>
      </c>
      <c r="G7" s="1">
        <v>21.04</v>
      </c>
      <c r="H7" s="1">
        <v>19.61</v>
      </c>
      <c r="I7" s="243"/>
      <c r="K7" s="206" t="s">
        <v>237</v>
      </c>
      <c r="L7" s="206" t="s">
        <v>238</v>
      </c>
      <c r="M7" s="206" t="str">
        <f t="shared" si="0"/>
        <v>Spitex AareBalm b. Messen</v>
      </c>
    </row>
    <row r="8" spans="1:13" x14ac:dyDescent="0.2">
      <c r="A8" s="3">
        <v>4252</v>
      </c>
      <c r="B8" s="3" t="s">
        <v>19</v>
      </c>
      <c r="C8" s="1">
        <v>38.130000000000003</v>
      </c>
      <c r="D8" s="1">
        <v>35.07</v>
      </c>
      <c r="E8" s="1">
        <v>32.69</v>
      </c>
      <c r="F8" s="1">
        <v>22.88</v>
      </c>
      <c r="G8" s="1">
        <v>21.04</v>
      </c>
      <c r="H8" s="1">
        <v>19.61</v>
      </c>
      <c r="I8" s="243"/>
      <c r="K8" s="206" t="s">
        <v>237</v>
      </c>
      <c r="L8" s="206" t="s">
        <v>239</v>
      </c>
      <c r="M8" s="206" t="str">
        <f t="shared" si="0"/>
        <v>Spitex AareBibern SO</v>
      </c>
    </row>
    <row r="9" spans="1:13" x14ac:dyDescent="0.2">
      <c r="A9" s="3">
        <v>4112</v>
      </c>
      <c r="B9" s="3" t="s">
        <v>20</v>
      </c>
      <c r="C9" s="1">
        <v>38.130000000000003</v>
      </c>
      <c r="D9" s="1">
        <v>35.07</v>
      </c>
      <c r="E9" s="1">
        <v>32.69</v>
      </c>
      <c r="F9" s="1">
        <v>22.88</v>
      </c>
      <c r="G9" s="1">
        <v>21.04</v>
      </c>
      <c r="H9" s="1">
        <v>19.61</v>
      </c>
      <c r="I9" s="243"/>
      <c r="K9" s="206" t="s">
        <v>237</v>
      </c>
      <c r="L9" s="206" t="s">
        <v>25</v>
      </c>
      <c r="M9" s="206" t="str">
        <f t="shared" si="0"/>
        <v>Spitex AareBiezwil</v>
      </c>
    </row>
    <row r="10" spans="1:13" x14ac:dyDescent="0.2">
      <c r="A10" s="4">
        <v>4229</v>
      </c>
      <c r="B10" s="4" t="s">
        <v>21</v>
      </c>
      <c r="C10" s="1">
        <v>38.130000000000003</v>
      </c>
      <c r="D10" s="1">
        <v>35.07</v>
      </c>
      <c r="E10" s="1">
        <v>32.69</v>
      </c>
      <c r="F10" s="1">
        <v>22.88</v>
      </c>
      <c r="G10" s="1">
        <v>21.04</v>
      </c>
      <c r="H10" s="1">
        <v>19.61</v>
      </c>
      <c r="I10" s="243"/>
      <c r="K10" s="206" t="s">
        <v>237</v>
      </c>
      <c r="L10" s="206" t="s">
        <v>225</v>
      </c>
      <c r="M10" s="206" t="str">
        <f t="shared" si="0"/>
        <v>Spitex AareBrügglen</v>
      </c>
    </row>
    <row r="11" spans="1:13" x14ac:dyDescent="0.2">
      <c r="A11" s="3">
        <v>4512</v>
      </c>
      <c r="B11" s="3" t="s">
        <v>22</v>
      </c>
      <c r="C11" s="1">
        <v>38.130000000000003</v>
      </c>
      <c r="D11" s="1">
        <v>35.07</v>
      </c>
      <c r="E11" s="1">
        <v>32.69</v>
      </c>
      <c r="F11" s="1">
        <v>22.88</v>
      </c>
      <c r="G11" s="1">
        <v>21.04</v>
      </c>
      <c r="H11" s="1">
        <v>19.61</v>
      </c>
      <c r="I11" s="243"/>
      <c r="K11" s="206" t="s">
        <v>237</v>
      </c>
      <c r="L11" s="206" t="s">
        <v>240</v>
      </c>
      <c r="M11" s="206" t="str">
        <f t="shared" si="0"/>
        <v>Spitex AareBrunnenthal/Bucheggberg</v>
      </c>
    </row>
    <row r="12" spans="1:13" x14ac:dyDescent="0.2">
      <c r="A12" s="3">
        <v>2544</v>
      </c>
      <c r="B12" s="3" t="s">
        <v>23</v>
      </c>
      <c r="C12" s="1">
        <v>38.130000000000003</v>
      </c>
      <c r="D12" s="1">
        <v>35.07</v>
      </c>
      <c r="E12" s="1">
        <v>32.69</v>
      </c>
      <c r="F12" s="1">
        <v>22.88</v>
      </c>
      <c r="G12" s="1">
        <v>21.04</v>
      </c>
      <c r="H12" s="1">
        <v>19.61</v>
      </c>
      <c r="I12" s="243"/>
      <c r="K12" s="206" t="s">
        <v>237</v>
      </c>
      <c r="L12" s="206" t="s">
        <v>44</v>
      </c>
      <c r="M12" s="206" t="str">
        <f t="shared" si="0"/>
        <v>Spitex AareFeldbrunnen</v>
      </c>
    </row>
    <row r="13" spans="1:13" x14ac:dyDescent="0.2">
      <c r="A13" s="3">
        <v>4562</v>
      </c>
      <c r="B13" s="3" t="s">
        <v>24</v>
      </c>
      <c r="C13" s="1">
        <v>38.130000000000003</v>
      </c>
      <c r="D13" s="1">
        <v>35.07</v>
      </c>
      <c r="E13" s="1">
        <v>32.69</v>
      </c>
      <c r="F13" s="1">
        <v>22.88</v>
      </c>
      <c r="G13" s="1">
        <v>21.04</v>
      </c>
      <c r="H13" s="1">
        <v>19.61</v>
      </c>
      <c r="I13" s="243"/>
      <c r="K13" s="206" t="s">
        <v>237</v>
      </c>
      <c r="L13" s="206" t="s">
        <v>216</v>
      </c>
      <c r="M13" s="206" t="str">
        <f t="shared" si="0"/>
        <v>Spitex AareGächliwil</v>
      </c>
    </row>
    <row r="14" spans="1:13" x14ac:dyDescent="0.2">
      <c r="A14" s="205">
        <v>4578</v>
      </c>
      <c r="B14" s="208" t="s">
        <v>223</v>
      </c>
      <c r="C14" s="1">
        <v>38.130000000000003</v>
      </c>
      <c r="D14" s="1">
        <v>35.07</v>
      </c>
      <c r="E14" s="1">
        <v>32.69</v>
      </c>
      <c r="F14" s="1">
        <v>22.88</v>
      </c>
      <c r="G14" s="1">
        <v>21.04</v>
      </c>
      <c r="H14" s="1">
        <v>19.61</v>
      </c>
      <c r="I14" s="244" t="s">
        <v>221</v>
      </c>
      <c r="K14" s="206" t="s">
        <v>237</v>
      </c>
      <c r="L14" s="206" t="s">
        <v>226</v>
      </c>
      <c r="M14" s="206" t="str">
        <f t="shared" si="0"/>
        <v>Spitex AareGossliwil</v>
      </c>
    </row>
    <row r="15" spans="1:13" x14ac:dyDescent="0.2">
      <c r="A15" s="3">
        <v>4585</v>
      </c>
      <c r="B15" s="209" t="s">
        <v>25</v>
      </c>
      <c r="C15" s="1">
        <v>38.130000000000003</v>
      </c>
      <c r="D15" s="1">
        <v>35.07</v>
      </c>
      <c r="E15" s="1">
        <v>32.69</v>
      </c>
      <c r="F15" s="1">
        <v>22.88</v>
      </c>
      <c r="G15" s="1">
        <v>21.04</v>
      </c>
      <c r="H15" s="1">
        <v>19.61</v>
      </c>
      <c r="I15" s="243"/>
      <c r="K15" s="206" t="s">
        <v>237</v>
      </c>
      <c r="L15" s="206" t="s">
        <v>53</v>
      </c>
      <c r="M15" s="206" t="str">
        <f t="shared" si="0"/>
        <v>Spitex AareGünsberg</v>
      </c>
    </row>
    <row r="16" spans="1:13" x14ac:dyDescent="0.2">
      <c r="A16" s="3">
        <v>4556</v>
      </c>
      <c r="B16" s="3" t="s">
        <v>26</v>
      </c>
      <c r="C16" s="1">
        <v>38.130000000000003</v>
      </c>
      <c r="D16" s="1">
        <v>35.07</v>
      </c>
      <c r="E16" s="1">
        <v>32.69</v>
      </c>
      <c r="F16" s="1">
        <v>22.88</v>
      </c>
      <c r="G16" s="1">
        <v>21.04</v>
      </c>
      <c r="H16" s="1">
        <v>19.61</v>
      </c>
      <c r="I16" s="243"/>
      <c r="K16" s="206" t="s">
        <v>237</v>
      </c>
      <c r="L16" s="206" t="s">
        <v>227</v>
      </c>
      <c r="M16" s="206" t="str">
        <f t="shared" si="0"/>
        <v>Spitex AareHessigkofen</v>
      </c>
    </row>
    <row r="17" spans="1:13" x14ac:dyDescent="0.2">
      <c r="A17" s="3">
        <v>4618</v>
      </c>
      <c r="B17" s="3" t="s">
        <v>27</v>
      </c>
      <c r="C17" s="1">
        <v>38.130000000000003</v>
      </c>
      <c r="D17" s="1">
        <v>35.07</v>
      </c>
      <c r="E17" s="1">
        <v>32.69</v>
      </c>
      <c r="F17" s="1">
        <v>22.88</v>
      </c>
      <c r="G17" s="1">
        <v>21.04</v>
      </c>
      <c r="H17" s="1">
        <v>19.61</v>
      </c>
      <c r="I17" s="243"/>
      <c r="K17" s="206" t="s">
        <v>237</v>
      </c>
      <c r="L17" s="206" t="s">
        <v>217</v>
      </c>
      <c r="M17" s="206" t="str">
        <f t="shared" si="0"/>
        <v>Spitex AareIchertswil</v>
      </c>
    </row>
    <row r="18" spans="1:13" x14ac:dyDescent="0.2">
      <c r="A18" s="205">
        <v>4588</v>
      </c>
      <c r="B18" s="208" t="s">
        <v>224</v>
      </c>
      <c r="C18" s="1">
        <v>38.130000000000003</v>
      </c>
      <c r="D18" s="1">
        <v>35.07</v>
      </c>
      <c r="E18" s="1">
        <v>32.69</v>
      </c>
      <c r="F18" s="1">
        <v>22.88</v>
      </c>
      <c r="G18" s="1">
        <v>21.04</v>
      </c>
      <c r="H18" s="1">
        <v>19.61</v>
      </c>
      <c r="I18" s="244" t="s">
        <v>221</v>
      </c>
      <c r="K18" s="206" t="s">
        <v>237</v>
      </c>
      <c r="L18" s="206" t="s">
        <v>67</v>
      </c>
      <c r="M18" s="206" t="str">
        <f t="shared" si="0"/>
        <v>Spitex AareKammersrohr</v>
      </c>
    </row>
    <row r="19" spans="1:13" x14ac:dyDescent="0.2">
      <c r="A19" s="3">
        <v>4226</v>
      </c>
      <c r="B19" s="3" t="s">
        <v>28</v>
      </c>
      <c r="C19" s="1">
        <v>38.130000000000003</v>
      </c>
      <c r="D19" s="1">
        <v>35.07</v>
      </c>
      <c r="E19" s="1">
        <v>32.69</v>
      </c>
      <c r="F19" s="1">
        <v>22.88</v>
      </c>
      <c r="G19" s="1">
        <v>21.04</v>
      </c>
      <c r="H19" s="1">
        <v>19.61</v>
      </c>
      <c r="I19" s="243"/>
      <c r="K19" s="206" t="s">
        <v>237</v>
      </c>
      <c r="L19" s="206" t="s">
        <v>228</v>
      </c>
      <c r="M19" s="206" t="str">
        <f t="shared" si="0"/>
        <v>Spitex AareKüttigkofen</v>
      </c>
    </row>
    <row r="20" spans="1:13" x14ac:dyDescent="0.2">
      <c r="A20" s="205">
        <v>4582</v>
      </c>
      <c r="B20" s="208" t="s">
        <v>225</v>
      </c>
      <c r="C20" s="1">
        <v>38.130000000000003</v>
      </c>
      <c r="D20" s="1">
        <v>35.07</v>
      </c>
      <c r="E20" s="1">
        <v>32.69</v>
      </c>
      <c r="F20" s="1">
        <v>22.88</v>
      </c>
      <c r="G20" s="1">
        <v>21.04</v>
      </c>
      <c r="H20" s="1">
        <v>19.61</v>
      </c>
      <c r="I20" s="244" t="s">
        <v>221</v>
      </c>
      <c r="K20" s="206" t="s">
        <v>237</v>
      </c>
      <c r="L20" s="206" t="s">
        <v>215</v>
      </c>
      <c r="M20" s="206" t="str">
        <f t="shared" si="0"/>
        <v>Spitex AareKyburg-Buchegg</v>
      </c>
    </row>
    <row r="21" spans="1:13" x14ac:dyDescent="0.2">
      <c r="A21" s="3">
        <v>4413</v>
      </c>
      <c r="B21" s="3" t="s">
        <v>30</v>
      </c>
      <c r="C21" s="1">
        <v>38.130000000000003</v>
      </c>
      <c r="D21" s="1">
        <v>35.07</v>
      </c>
      <c r="E21" s="1">
        <v>32.69</v>
      </c>
      <c r="F21" s="1">
        <v>22.88</v>
      </c>
      <c r="G21" s="1">
        <v>21.04</v>
      </c>
      <c r="H21" s="1">
        <v>19.61</v>
      </c>
      <c r="I21" s="243"/>
      <c r="K21" s="206" t="s">
        <v>237</v>
      </c>
      <c r="L21" s="206" t="s">
        <v>75</v>
      </c>
      <c r="M21" s="206" t="str">
        <f t="shared" si="0"/>
        <v>Spitex AareLohn-Ammannsegg</v>
      </c>
    </row>
    <row r="22" spans="1:13" x14ac:dyDescent="0.2">
      <c r="A22" s="3">
        <v>4227</v>
      </c>
      <c r="B22" s="3" t="s">
        <v>31</v>
      </c>
      <c r="C22" s="1">
        <v>38.130000000000003</v>
      </c>
      <c r="D22" s="1">
        <v>35.07</v>
      </c>
      <c r="E22" s="1">
        <v>32.69</v>
      </c>
      <c r="F22" s="1">
        <v>22.88</v>
      </c>
      <c r="G22" s="1">
        <v>21.04</v>
      </c>
      <c r="H22" s="1">
        <v>19.61</v>
      </c>
      <c r="I22" s="243"/>
      <c r="K22" s="206" t="s">
        <v>237</v>
      </c>
      <c r="L22" s="206" t="s">
        <v>219</v>
      </c>
      <c r="M22" s="206" t="str">
        <f t="shared" si="0"/>
        <v>Spitex AareLüsslingen</v>
      </c>
    </row>
    <row r="23" spans="1:13" x14ac:dyDescent="0.2">
      <c r="A23" s="3">
        <v>4658</v>
      </c>
      <c r="B23" s="3" t="s">
        <v>32</v>
      </c>
      <c r="C23" s="1">
        <v>38.130000000000003</v>
      </c>
      <c r="D23" s="1">
        <v>35.07</v>
      </c>
      <c r="E23" s="1">
        <v>32.69</v>
      </c>
      <c r="F23" s="1">
        <v>22.88</v>
      </c>
      <c r="G23" s="1">
        <v>21.04</v>
      </c>
      <c r="H23" s="1">
        <v>19.61</v>
      </c>
      <c r="I23" s="243"/>
      <c r="K23" s="206" t="s">
        <v>237</v>
      </c>
      <c r="L23" s="206" t="s">
        <v>80</v>
      </c>
      <c r="M23" s="206" t="str">
        <f t="shared" si="0"/>
        <v>Spitex AareLüterkofen</v>
      </c>
    </row>
    <row r="24" spans="1:13" x14ac:dyDescent="0.2">
      <c r="A24" s="3">
        <v>4543</v>
      </c>
      <c r="B24" s="3" t="s">
        <v>33</v>
      </c>
      <c r="C24" s="1">
        <v>38.130000000000003</v>
      </c>
      <c r="D24" s="1">
        <v>35.07</v>
      </c>
      <c r="E24" s="1">
        <v>32.69</v>
      </c>
      <c r="F24" s="1">
        <v>22.88</v>
      </c>
      <c r="G24" s="1">
        <v>21.04</v>
      </c>
      <c r="H24" s="1">
        <v>19.61</v>
      </c>
      <c r="I24" s="243"/>
      <c r="K24" s="206" t="s">
        <v>237</v>
      </c>
      <c r="L24" s="206" t="s">
        <v>81</v>
      </c>
      <c r="M24" s="206" t="str">
        <f t="shared" si="0"/>
        <v>Spitex AareLüterswil</v>
      </c>
    </row>
    <row r="25" spans="1:13" x14ac:dyDescent="0.2">
      <c r="A25" s="3">
        <v>4552</v>
      </c>
      <c r="B25" s="3" t="s">
        <v>34</v>
      </c>
      <c r="C25" s="1">
        <v>38.130000000000003</v>
      </c>
      <c r="D25" s="1">
        <v>35.07</v>
      </c>
      <c r="E25" s="1">
        <v>32.69</v>
      </c>
      <c r="F25" s="1">
        <v>22.88</v>
      </c>
      <c r="G25" s="1">
        <v>21.04</v>
      </c>
      <c r="H25" s="1">
        <v>19.61</v>
      </c>
      <c r="I25" s="243"/>
      <c r="K25" s="206" t="s">
        <v>237</v>
      </c>
      <c r="L25" s="206" t="s">
        <v>84</v>
      </c>
      <c r="M25" s="206" t="str">
        <f>K25&amp;L25</f>
        <v>Spitex AareMessen</v>
      </c>
    </row>
    <row r="26" spans="1:13" x14ac:dyDescent="0.2">
      <c r="A26" s="3">
        <v>4143</v>
      </c>
      <c r="B26" s="3" t="s">
        <v>35</v>
      </c>
      <c r="C26" s="1">
        <v>38.130000000000003</v>
      </c>
      <c r="D26" s="1">
        <v>35.07</v>
      </c>
      <c r="E26" s="1">
        <v>32.69</v>
      </c>
      <c r="F26" s="1">
        <v>22.88</v>
      </c>
      <c r="G26" s="1">
        <v>21.04</v>
      </c>
      <c r="H26" s="1">
        <v>19.61</v>
      </c>
      <c r="I26" s="243"/>
      <c r="K26" s="206" t="s">
        <v>237</v>
      </c>
      <c r="L26" s="206" t="s">
        <v>241</v>
      </c>
      <c r="M26" s="206" t="str">
        <f t="shared" ref="M26:M56" si="1">K26&amp;L26</f>
        <v>Spitex AareMühledorf SO</v>
      </c>
    </row>
    <row r="27" spans="1:13" x14ac:dyDescent="0.2">
      <c r="A27" s="3">
        <v>4558</v>
      </c>
      <c r="B27" s="3" t="s">
        <v>36</v>
      </c>
      <c r="C27" s="1">
        <v>38.130000000000003</v>
      </c>
      <c r="D27" s="1">
        <v>35.07</v>
      </c>
      <c r="E27" s="1">
        <v>32.69</v>
      </c>
      <c r="F27" s="1">
        <v>22.88</v>
      </c>
      <c r="G27" s="1">
        <v>21.04</v>
      </c>
      <c r="H27" s="1">
        <v>19.61</v>
      </c>
      <c r="I27" s="244" t="s">
        <v>233</v>
      </c>
      <c r="K27" s="206" t="s">
        <v>237</v>
      </c>
      <c r="L27" s="206" t="s">
        <v>78</v>
      </c>
      <c r="M27" s="206" t="str">
        <f t="shared" si="1"/>
        <v>Spitex AareNennigkofen</v>
      </c>
    </row>
    <row r="28" spans="1:13" x14ac:dyDescent="0.2">
      <c r="A28" s="3">
        <v>4657</v>
      </c>
      <c r="B28" s="3" t="s">
        <v>37</v>
      </c>
      <c r="C28" s="1">
        <v>38.130000000000003</v>
      </c>
      <c r="D28" s="1">
        <v>35.07</v>
      </c>
      <c r="E28" s="1">
        <v>32.69</v>
      </c>
      <c r="F28" s="1">
        <v>22.88</v>
      </c>
      <c r="G28" s="1">
        <v>21.04</v>
      </c>
      <c r="H28" s="1">
        <v>19.61</v>
      </c>
      <c r="I28" s="243"/>
      <c r="K28" s="206" t="s">
        <v>237</v>
      </c>
      <c r="L28" s="206" t="s">
        <v>243</v>
      </c>
      <c r="M28" s="206" t="str">
        <f t="shared" si="1"/>
        <v>Spitex AareOberramsern</v>
      </c>
    </row>
    <row r="29" spans="1:13" x14ac:dyDescent="0.2">
      <c r="A29" s="3">
        <v>4622</v>
      </c>
      <c r="B29" s="3" t="s">
        <v>38</v>
      </c>
      <c r="C29" s="1">
        <v>38.130000000000003</v>
      </c>
      <c r="D29" s="1">
        <v>35.07</v>
      </c>
      <c r="E29" s="1">
        <v>32.69</v>
      </c>
      <c r="F29" s="1">
        <v>22.88</v>
      </c>
      <c r="G29" s="1">
        <v>21.04</v>
      </c>
      <c r="H29" s="1">
        <v>19.61</v>
      </c>
      <c r="I29" s="243"/>
      <c r="K29" s="206" t="s">
        <v>237</v>
      </c>
      <c r="L29" s="206" t="s">
        <v>104</v>
      </c>
      <c r="M29" s="206" t="str">
        <f t="shared" si="1"/>
        <v>Spitex AareRüttenen</v>
      </c>
    </row>
    <row r="30" spans="1:13" x14ac:dyDescent="0.2">
      <c r="A30" s="3">
        <v>5012</v>
      </c>
      <c r="B30" s="3" t="s">
        <v>39</v>
      </c>
      <c r="C30" s="1">
        <v>38.130000000000003</v>
      </c>
      <c r="D30" s="1">
        <v>35.07</v>
      </c>
      <c r="E30" s="1">
        <v>32.69</v>
      </c>
      <c r="F30" s="1">
        <v>22.88</v>
      </c>
      <c r="G30" s="1">
        <v>21.04</v>
      </c>
      <c r="H30" s="1">
        <v>19.61</v>
      </c>
      <c r="I30" s="243"/>
      <c r="K30" s="206" t="s">
        <v>237</v>
      </c>
      <c r="L30" s="206" t="s">
        <v>105</v>
      </c>
      <c r="M30" s="206" t="str">
        <f t="shared" si="1"/>
        <v>Spitex AareSchnottwil</v>
      </c>
    </row>
    <row r="31" spans="1:13" x14ac:dyDescent="0.2">
      <c r="A31" s="3">
        <v>5015</v>
      </c>
      <c r="B31" s="3" t="s">
        <v>40</v>
      </c>
      <c r="C31" s="1">
        <v>38.130000000000003</v>
      </c>
      <c r="D31" s="1">
        <v>35.07</v>
      </c>
      <c r="E31" s="1">
        <v>32.69</v>
      </c>
      <c r="F31" s="1">
        <v>22.88</v>
      </c>
      <c r="G31" s="1">
        <v>21.04</v>
      </c>
      <c r="H31" s="1">
        <v>19.61</v>
      </c>
      <c r="I31" s="243"/>
      <c r="K31" s="206" t="s">
        <v>237</v>
      </c>
      <c r="L31" s="206" t="s">
        <v>108</v>
      </c>
      <c r="M31" s="206" t="str">
        <f t="shared" si="1"/>
        <v>Spitex AareSelzach</v>
      </c>
    </row>
    <row r="32" spans="1:13" x14ac:dyDescent="0.2">
      <c r="A32" s="3">
        <v>4228</v>
      </c>
      <c r="B32" s="82" t="s">
        <v>41</v>
      </c>
      <c r="C32" s="1">
        <v>38.130000000000003</v>
      </c>
      <c r="D32" s="1">
        <v>35.07</v>
      </c>
      <c r="E32" s="1">
        <v>32.69</v>
      </c>
      <c r="F32" s="1">
        <v>22.88</v>
      </c>
      <c r="G32" s="1">
        <v>21.04</v>
      </c>
      <c r="H32" s="1">
        <v>19.61</v>
      </c>
      <c r="I32" s="243"/>
      <c r="K32" s="206" t="s">
        <v>237</v>
      </c>
      <c r="L32" s="206" t="s">
        <v>229</v>
      </c>
      <c r="M32" s="206" t="str">
        <f t="shared" si="1"/>
        <v>Spitex AareTscheppach</v>
      </c>
    </row>
    <row r="33" spans="1:13" x14ac:dyDescent="0.2">
      <c r="A33" s="3">
        <v>4554</v>
      </c>
      <c r="B33" s="3" t="s">
        <v>42</v>
      </c>
      <c r="C33" s="1">
        <v>38.130000000000003</v>
      </c>
      <c r="D33" s="1">
        <v>35.07</v>
      </c>
      <c r="E33" s="1">
        <v>32.69</v>
      </c>
      <c r="F33" s="1">
        <v>22.88</v>
      </c>
      <c r="G33" s="1">
        <v>21.04</v>
      </c>
      <c r="H33" s="1">
        <v>19.61</v>
      </c>
      <c r="I33" s="243"/>
      <c r="K33" s="206" t="s">
        <v>244</v>
      </c>
      <c r="L33" s="206" t="s">
        <v>24</v>
      </c>
      <c r="M33" s="206" t="str">
        <f t="shared" si="1"/>
        <v>Spitex BiberistBiberist</v>
      </c>
    </row>
    <row r="34" spans="1:13" x14ac:dyDescent="0.2">
      <c r="A34" s="3">
        <v>4232</v>
      </c>
      <c r="B34" s="3" t="s">
        <v>43</v>
      </c>
      <c r="C34" s="1">
        <v>38.130000000000003</v>
      </c>
      <c r="D34" s="1">
        <v>35.07</v>
      </c>
      <c r="E34" s="1">
        <v>32.69</v>
      </c>
      <c r="F34" s="1">
        <v>22.88</v>
      </c>
      <c r="G34" s="1">
        <v>21.04</v>
      </c>
      <c r="H34" s="1">
        <v>19.61</v>
      </c>
      <c r="I34" s="243"/>
      <c r="K34" s="206" t="s">
        <v>245</v>
      </c>
      <c r="L34" s="206" t="s">
        <v>32</v>
      </c>
      <c r="M34" s="206" t="str">
        <f t="shared" si="1"/>
        <v>Spitex Däniken-Gretzenbach-WalterswilDäniken</v>
      </c>
    </row>
    <row r="35" spans="1:13" x14ac:dyDescent="0.2">
      <c r="A35" s="3">
        <v>4532</v>
      </c>
      <c r="B35" s="3" t="s">
        <v>44</v>
      </c>
      <c r="C35" s="1">
        <v>38.130000000000003</v>
      </c>
      <c r="D35" s="1">
        <v>35.07</v>
      </c>
      <c r="E35" s="1">
        <v>32.69</v>
      </c>
      <c r="F35" s="1">
        <v>22.88</v>
      </c>
      <c r="G35" s="1">
        <v>21.04</v>
      </c>
      <c r="H35" s="1">
        <v>19.61</v>
      </c>
      <c r="I35" s="243"/>
      <c r="K35" s="206" t="s">
        <v>245</v>
      </c>
      <c r="L35" s="206" t="s">
        <v>51</v>
      </c>
      <c r="M35" s="206" t="str">
        <f t="shared" si="1"/>
        <v>Spitex Däniken-Gretzenbach-WalterswilGretzenbach</v>
      </c>
    </row>
    <row r="36" spans="1:13" x14ac:dyDescent="0.2">
      <c r="A36" s="3">
        <v>4534</v>
      </c>
      <c r="B36" s="3" t="s">
        <v>45</v>
      </c>
      <c r="C36" s="1">
        <v>38.130000000000003</v>
      </c>
      <c r="D36" s="1">
        <v>35.07</v>
      </c>
      <c r="E36" s="1">
        <v>32.69</v>
      </c>
      <c r="F36" s="1">
        <v>22.88</v>
      </c>
      <c r="G36" s="1">
        <v>21.04</v>
      </c>
      <c r="H36" s="1">
        <v>19.61</v>
      </c>
      <c r="I36" s="243"/>
      <c r="K36" s="206" t="s">
        <v>245</v>
      </c>
      <c r="L36" s="206" t="s">
        <v>115</v>
      </c>
      <c r="M36" s="206" t="str">
        <f t="shared" si="1"/>
        <v>Spitex Däniken-Gretzenbach-WalterswilWalterswil</v>
      </c>
    </row>
    <row r="37" spans="1:13" x14ac:dyDescent="0.2">
      <c r="A37" s="3">
        <v>4629</v>
      </c>
      <c r="B37" s="3" t="s">
        <v>46</v>
      </c>
      <c r="C37" s="1">
        <v>38.130000000000003</v>
      </c>
      <c r="D37" s="1">
        <v>35.07</v>
      </c>
      <c r="E37" s="1">
        <v>32.69</v>
      </c>
      <c r="F37" s="1">
        <v>22.88</v>
      </c>
      <c r="G37" s="1">
        <v>21.04</v>
      </c>
      <c r="H37" s="1">
        <v>19.61</v>
      </c>
      <c r="I37" s="243"/>
      <c r="K37" s="206" t="s">
        <v>246</v>
      </c>
      <c r="L37" s="206" t="s">
        <v>33</v>
      </c>
      <c r="M37" s="206" t="str">
        <f t="shared" si="1"/>
        <v>Spitex Derendingen-DeitingenDeitingen</v>
      </c>
    </row>
    <row r="38" spans="1:13" x14ac:dyDescent="0.2">
      <c r="A38" s="3">
        <v>4716</v>
      </c>
      <c r="B38" s="3" t="s">
        <v>47</v>
      </c>
      <c r="C38" s="1">
        <v>38.130000000000003</v>
      </c>
      <c r="D38" s="1">
        <v>35.07</v>
      </c>
      <c r="E38" s="1">
        <v>32.69</v>
      </c>
      <c r="F38" s="1">
        <v>22.88</v>
      </c>
      <c r="G38" s="1">
        <v>21.04</v>
      </c>
      <c r="H38" s="1">
        <v>19.61</v>
      </c>
      <c r="I38" s="243"/>
      <c r="K38" s="206" t="s">
        <v>246</v>
      </c>
      <c r="L38" s="206" t="s">
        <v>34</v>
      </c>
      <c r="M38" s="206" t="str">
        <f t="shared" si="1"/>
        <v>Spitex Derendingen-DeitingenDerendingen</v>
      </c>
    </row>
    <row r="39" spans="1:13" x14ac:dyDescent="0.2">
      <c r="A39" s="205">
        <v>4584</v>
      </c>
      <c r="B39" s="208" t="s">
        <v>216</v>
      </c>
      <c r="C39" s="1">
        <v>38.130000000000003</v>
      </c>
      <c r="D39" s="1">
        <v>35.07</v>
      </c>
      <c r="E39" s="1">
        <v>32.69</v>
      </c>
      <c r="F39" s="1">
        <v>22.88</v>
      </c>
      <c r="G39" s="1">
        <v>21.04</v>
      </c>
      <c r="H39" s="1">
        <v>19.61</v>
      </c>
      <c r="I39" s="243"/>
      <c r="K39" s="206" t="s">
        <v>247</v>
      </c>
      <c r="L39" s="206" t="s">
        <v>248</v>
      </c>
      <c r="M39" s="206" t="str">
        <f t="shared" si="1"/>
        <v>Spitex Erlinsbach SOErlinsbach</v>
      </c>
    </row>
    <row r="40" spans="1:13" x14ac:dyDescent="0.2">
      <c r="A40" s="4">
        <v>4145</v>
      </c>
      <c r="B40" s="4" t="s">
        <v>48</v>
      </c>
      <c r="C40" s="1">
        <v>38.130000000000003</v>
      </c>
      <c r="D40" s="1">
        <v>35.07</v>
      </c>
      <c r="E40" s="1">
        <v>32.69</v>
      </c>
      <c r="F40" s="1">
        <v>22.88</v>
      </c>
      <c r="G40" s="1">
        <v>21.04</v>
      </c>
      <c r="H40" s="1">
        <v>19.61</v>
      </c>
      <c r="I40" s="243"/>
      <c r="K40" s="206" t="s">
        <v>249</v>
      </c>
      <c r="L40" s="206" t="s">
        <v>38</v>
      </c>
      <c r="M40" s="206" t="str">
        <f t="shared" si="1"/>
        <v>SPITEX GäuEgerkingen</v>
      </c>
    </row>
    <row r="41" spans="1:13" x14ac:dyDescent="0.2">
      <c r="A41" s="3">
        <v>4563</v>
      </c>
      <c r="B41" s="3" t="s">
        <v>49</v>
      </c>
      <c r="C41" s="1">
        <v>38.130000000000003</v>
      </c>
      <c r="D41" s="1">
        <v>35.07</v>
      </c>
      <c r="E41" s="1">
        <v>32.69</v>
      </c>
      <c r="F41" s="1">
        <v>22.88</v>
      </c>
      <c r="G41" s="1">
        <v>21.04</v>
      </c>
      <c r="H41" s="1">
        <v>19.61</v>
      </c>
      <c r="I41" s="243"/>
      <c r="K41" s="206" t="s">
        <v>249</v>
      </c>
      <c r="L41" s="206" t="s">
        <v>57</v>
      </c>
      <c r="M41" s="206" t="str">
        <f t="shared" si="1"/>
        <v>SPITEX GäuHärkingen</v>
      </c>
    </row>
    <row r="42" spans="1:13" x14ac:dyDescent="0.2">
      <c r="A42" s="205">
        <v>4579</v>
      </c>
      <c r="B42" s="205" t="s">
        <v>226</v>
      </c>
      <c r="C42" s="1">
        <v>38.130000000000003</v>
      </c>
      <c r="D42" s="1">
        <v>35.07</v>
      </c>
      <c r="E42" s="1">
        <v>32.69</v>
      </c>
      <c r="F42" s="1">
        <v>22.88</v>
      </c>
      <c r="G42" s="1">
        <v>21.04</v>
      </c>
      <c r="H42" s="1">
        <v>19.61</v>
      </c>
      <c r="I42" s="244" t="s">
        <v>221</v>
      </c>
      <c r="K42" s="206" t="s">
        <v>249</v>
      </c>
      <c r="L42" s="206" t="s">
        <v>87</v>
      </c>
      <c r="M42" s="206" t="str">
        <f t="shared" si="1"/>
        <v>SPITEX GäuNeuendorf</v>
      </c>
    </row>
    <row r="43" spans="1:13" x14ac:dyDescent="0.2">
      <c r="A43" s="3">
        <v>2540</v>
      </c>
      <c r="B43" s="3" t="s">
        <v>50</v>
      </c>
      <c r="C43" s="1">
        <v>38.130000000000003</v>
      </c>
      <c r="D43" s="1">
        <v>35.07</v>
      </c>
      <c r="E43" s="1">
        <v>32.69</v>
      </c>
      <c r="F43" s="1">
        <v>22.88</v>
      </c>
      <c r="G43" s="1">
        <v>21.04</v>
      </c>
      <c r="H43" s="1">
        <v>19.61</v>
      </c>
      <c r="I43" s="243"/>
      <c r="K43" s="206" t="s">
        <v>249</v>
      </c>
      <c r="L43" s="206" t="s">
        <v>88</v>
      </c>
      <c r="M43" s="206" t="str">
        <f t="shared" si="1"/>
        <v>SPITEX GäuNiederbuchsiten</v>
      </c>
    </row>
    <row r="44" spans="1:13" x14ac:dyDescent="0.2">
      <c r="A44" s="3">
        <v>5014</v>
      </c>
      <c r="B44" s="3" t="s">
        <v>51</v>
      </c>
      <c r="C44" s="1">
        <v>38.130000000000003</v>
      </c>
      <c r="D44" s="1">
        <v>35.07</v>
      </c>
      <c r="E44" s="1">
        <v>32.69</v>
      </c>
      <c r="F44" s="1">
        <v>22.88</v>
      </c>
      <c r="G44" s="1">
        <v>21.04</v>
      </c>
      <c r="H44" s="1">
        <v>19.61</v>
      </c>
      <c r="I44" s="243"/>
      <c r="K44" s="206" t="s">
        <v>249</v>
      </c>
      <c r="L44" s="206" t="s">
        <v>92</v>
      </c>
      <c r="M44" s="206" t="str">
        <f t="shared" si="1"/>
        <v>SPITEX GäuOberbuchsiten</v>
      </c>
    </row>
    <row r="45" spans="1:13" x14ac:dyDescent="0.2">
      <c r="A45" s="4">
        <v>4247</v>
      </c>
      <c r="B45" s="4" t="s">
        <v>52</v>
      </c>
      <c r="C45" s="1">
        <v>38.130000000000003</v>
      </c>
      <c r="D45" s="1">
        <v>35.07</v>
      </c>
      <c r="E45" s="1">
        <v>32.69</v>
      </c>
      <c r="F45" s="1">
        <v>22.88</v>
      </c>
      <c r="G45" s="1">
        <v>21.04</v>
      </c>
      <c r="H45" s="1">
        <v>19.61</v>
      </c>
      <c r="I45" s="243"/>
      <c r="K45" s="206" t="s">
        <v>249</v>
      </c>
      <c r="L45" s="206" t="s">
        <v>97</v>
      </c>
      <c r="M45" s="206" t="str">
        <f t="shared" si="1"/>
        <v>SPITEX GäuOensingen</v>
      </c>
    </row>
    <row r="46" spans="1:13" x14ac:dyDescent="0.2">
      <c r="A46" s="3">
        <v>4524</v>
      </c>
      <c r="B46" s="3" t="s">
        <v>53</v>
      </c>
      <c r="C46" s="1">
        <v>38.130000000000003</v>
      </c>
      <c r="D46" s="1">
        <v>35.07</v>
      </c>
      <c r="E46" s="1">
        <v>32.69</v>
      </c>
      <c r="F46" s="1">
        <v>22.88</v>
      </c>
      <c r="G46" s="1">
        <v>21.04</v>
      </c>
      <c r="H46" s="1">
        <v>19.61</v>
      </c>
      <c r="I46" s="243"/>
      <c r="K46" s="206" t="s">
        <v>250</v>
      </c>
      <c r="L46" s="206" t="s">
        <v>50</v>
      </c>
      <c r="M46" s="206" t="str">
        <f t="shared" si="1"/>
        <v>Spitex GrenchenGrenchen</v>
      </c>
    </row>
    <row r="47" spans="1:13" x14ac:dyDescent="0.2">
      <c r="A47" s="3">
        <v>4617</v>
      </c>
      <c r="B47" s="3" t="s">
        <v>54</v>
      </c>
      <c r="C47" s="1">
        <v>38.130000000000003</v>
      </c>
      <c r="D47" s="1">
        <v>35.07</v>
      </c>
      <c r="E47" s="1">
        <v>32.69</v>
      </c>
      <c r="F47" s="1">
        <v>22.88</v>
      </c>
      <c r="G47" s="1">
        <v>21.04</v>
      </c>
      <c r="H47" s="1">
        <v>19.61</v>
      </c>
      <c r="I47" s="243"/>
      <c r="K47" s="206" t="s">
        <v>251</v>
      </c>
      <c r="L47" s="206" t="s">
        <v>27</v>
      </c>
      <c r="M47" s="206" t="str">
        <f t="shared" si="1"/>
        <v>Spitex Kappel-Boningen-GunzgenBoningen</v>
      </c>
    </row>
    <row r="48" spans="1:13" x14ac:dyDescent="0.2">
      <c r="A48" s="3">
        <v>4614</v>
      </c>
      <c r="B48" s="3" t="s">
        <v>55</v>
      </c>
      <c r="C48" s="1">
        <v>38.130000000000003</v>
      </c>
      <c r="D48" s="1">
        <v>35.07</v>
      </c>
      <c r="E48" s="1">
        <v>32.69</v>
      </c>
      <c r="F48" s="1">
        <v>22.88</v>
      </c>
      <c r="G48" s="1">
        <v>21.04</v>
      </c>
      <c r="H48" s="1">
        <v>19.61</v>
      </c>
      <c r="I48" s="243"/>
      <c r="K48" s="206" t="s">
        <v>251</v>
      </c>
      <c r="L48" s="206" t="s">
        <v>54</v>
      </c>
      <c r="M48" s="206" t="str">
        <f t="shared" si="1"/>
        <v>Spitex Kappel-Boningen-GunzgenGunzgen</v>
      </c>
    </row>
    <row r="49" spans="1:13" x14ac:dyDescent="0.2">
      <c r="A49" s="3">
        <v>4566</v>
      </c>
      <c r="B49" s="3" t="s">
        <v>56</v>
      </c>
      <c r="C49" s="1">
        <v>38.130000000000003</v>
      </c>
      <c r="D49" s="1">
        <v>35.07</v>
      </c>
      <c r="E49" s="1">
        <v>32.69</v>
      </c>
      <c r="F49" s="1">
        <v>22.88</v>
      </c>
      <c r="G49" s="1">
        <v>21.04</v>
      </c>
      <c r="H49" s="1">
        <v>19.61</v>
      </c>
      <c r="I49" s="243"/>
      <c r="K49" s="206" t="s">
        <v>251</v>
      </c>
      <c r="L49" s="206" t="s">
        <v>68</v>
      </c>
      <c r="M49" s="206" t="str">
        <f t="shared" si="1"/>
        <v>Spitex Kappel-Boningen-GunzgenKappel</v>
      </c>
    </row>
    <row r="50" spans="1:13" x14ac:dyDescent="0.2">
      <c r="A50" s="3">
        <v>4624</v>
      </c>
      <c r="B50" s="3" t="s">
        <v>57</v>
      </c>
      <c r="C50" s="1">
        <v>38.130000000000003</v>
      </c>
      <c r="D50" s="1">
        <v>35.07</v>
      </c>
      <c r="E50" s="1">
        <v>32.69</v>
      </c>
      <c r="F50" s="1">
        <v>22.88</v>
      </c>
      <c r="G50" s="1">
        <v>21.04</v>
      </c>
      <c r="H50" s="1">
        <v>19.61</v>
      </c>
      <c r="I50" s="243"/>
      <c r="K50" s="206" t="s">
        <v>252</v>
      </c>
      <c r="L50" s="206" t="s">
        <v>35</v>
      </c>
      <c r="M50" s="206" t="str">
        <f t="shared" si="1"/>
        <v>Spitex Region Birs GmbHDornach</v>
      </c>
    </row>
    <row r="51" spans="1:13" x14ac:dyDescent="0.2">
      <c r="A51" s="3">
        <v>4633</v>
      </c>
      <c r="B51" s="3" t="s">
        <v>58</v>
      </c>
      <c r="C51" s="1">
        <v>38.130000000000003</v>
      </c>
      <c r="D51" s="1">
        <v>35.07</v>
      </c>
      <c r="E51" s="1">
        <v>32.69</v>
      </c>
      <c r="F51" s="1">
        <v>22.88</v>
      </c>
      <c r="G51" s="1">
        <v>21.04</v>
      </c>
      <c r="H51" s="1">
        <v>19.61</v>
      </c>
      <c r="I51" s="243"/>
      <c r="K51" s="206" t="s">
        <v>252</v>
      </c>
      <c r="L51" s="206" t="s">
        <v>48</v>
      </c>
      <c r="M51" s="206" t="str">
        <f t="shared" si="1"/>
        <v>Spitex Region Birs GmbHGempen</v>
      </c>
    </row>
    <row r="52" spans="1:13" x14ac:dyDescent="0.2">
      <c r="A52" s="205">
        <v>4558</v>
      </c>
      <c r="B52" s="205" t="s">
        <v>234</v>
      </c>
      <c r="C52" s="1">
        <v>38.130000000000003</v>
      </c>
      <c r="D52" s="1">
        <v>35.07</v>
      </c>
      <c r="E52" s="1">
        <v>32.69</v>
      </c>
      <c r="F52" s="1">
        <v>22.88</v>
      </c>
      <c r="G52" s="1">
        <v>21.04</v>
      </c>
      <c r="H52" s="1">
        <v>19.61</v>
      </c>
      <c r="I52" s="244" t="s">
        <v>233</v>
      </c>
      <c r="K52" s="206" t="s">
        <v>252</v>
      </c>
      <c r="L52" s="206" t="s">
        <v>61</v>
      </c>
      <c r="M52" s="206" t="str">
        <f t="shared" si="1"/>
        <v>Spitex Region Birs GmbHHochwald</v>
      </c>
    </row>
    <row r="53" spans="1:13" x14ac:dyDescent="0.2">
      <c r="A53" s="4">
        <v>4715</v>
      </c>
      <c r="B53" s="4" t="s">
        <v>59</v>
      </c>
      <c r="C53" s="1">
        <v>38.130000000000003</v>
      </c>
      <c r="D53" s="1">
        <v>35.07</v>
      </c>
      <c r="E53" s="1">
        <v>32.69</v>
      </c>
      <c r="F53" s="1">
        <v>22.88</v>
      </c>
      <c r="G53" s="1">
        <v>21.04</v>
      </c>
      <c r="H53" s="1">
        <v>19.61</v>
      </c>
      <c r="I53" s="243"/>
      <c r="K53" s="206" t="s">
        <v>253</v>
      </c>
      <c r="L53" s="206" t="s">
        <v>58</v>
      </c>
      <c r="M53" s="206" t="str">
        <f t="shared" si="1"/>
        <v>Spitex Region OltenHauenstein</v>
      </c>
    </row>
    <row r="54" spans="1:13" x14ac:dyDescent="0.2">
      <c r="A54" s="207">
        <v>4558</v>
      </c>
      <c r="B54" s="207" t="s">
        <v>232</v>
      </c>
      <c r="C54" s="1">
        <v>38.130000000000003</v>
      </c>
      <c r="D54" s="1">
        <v>35.07</v>
      </c>
      <c r="E54" s="1">
        <v>32.69</v>
      </c>
      <c r="F54" s="1">
        <v>22.88</v>
      </c>
      <c r="G54" s="1">
        <v>21.04</v>
      </c>
      <c r="H54" s="1">
        <v>19.61</v>
      </c>
      <c r="I54" s="244" t="s">
        <v>233</v>
      </c>
      <c r="K54" s="206" t="s">
        <v>253</v>
      </c>
      <c r="L54" s="206" t="s">
        <v>98</v>
      </c>
      <c r="M54" s="206" t="str">
        <f t="shared" si="1"/>
        <v>Spitex Region OltenOlten</v>
      </c>
    </row>
    <row r="55" spans="1:13" x14ac:dyDescent="0.2">
      <c r="A55" s="207">
        <v>4577</v>
      </c>
      <c r="B55" s="207" t="s">
        <v>227</v>
      </c>
      <c r="C55" s="1">
        <v>38.130000000000003</v>
      </c>
      <c r="D55" s="1">
        <v>35.07</v>
      </c>
      <c r="E55" s="1">
        <v>32.69</v>
      </c>
      <c r="F55" s="1">
        <v>22.88</v>
      </c>
      <c r="G55" s="1">
        <v>21.04</v>
      </c>
      <c r="H55" s="1">
        <v>19.61</v>
      </c>
      <c r="I55" s="244" t="s">
        <v>221</v>
      </c>
      <c r="K55" s="206" t="s">
        <v>253</v>
      </c>
      <c r="L55" s="206" t="s">
        <v>118</v>
      </c>
      <c r="M55" s="206" t="str">
        <f t="shared" si="1"/>
        <v>Spitex Region OltenWinznau</v>
      </c>
    </row>
    <row r="56" spans="1:13" x14ac:dyDescent="0.2">
      <c r="A56" s="82">
        <v>4204</v>
      </c>
      <c r="B56" s="82" t="s">
        <v>60</v>
      </c>
      <c r="C56" s="55">
        <v>38.130000000000003</v>
      </c>
      <c r="D56" s="55">
        <v>35.07</v>
      </c>
      <c r="E56" s="55">
        <v>32.69</v>
      </c>
      <c r="F56" s="55">
        <v>22.88</v>
      </c>
      <c r="G56" s="55">
        <v>21.04</v>
      </c>
      <c r="H56" s="55">
        <v>19.61</v>
      </c>
      <c r="I56" s="244"/>
      <c r="K56" s="206" t="s">
        <v>253</v>
      </c>
      <c r="L56" s="206" t="s">
        <v>254</v>
      </c>
      <c r="M56" s="206" t="str">
        <f t="shared" si="1"/>
        <v>Spitex Region OltenWissen</v>
      </c>
    </row>
    <row r="57" spans="1:13" x14ac:dyDescent="0.2">
      <c r="A57" s="3">
        <v>4146</v>
      </c>
      <c r="B57" s="3" t="s">
        <v>61</v>
      </c>
      <c r="C57" s="1">
        <v>38.130000000000003</v>
      </c>
      <c r="D57" s="1">
        <v>35.07</v>
      </c>
      <c r="E57" s="1">
        <v>32.69</v>
      </c>
      <c r="F57" s="1">
        <v>22.88</v>
      </c>
      <c r="G57" s="1">
        <v>21.04</v>
      </c>
      <c r="H57" s="1">
        <v>19.61</v>
      </c>
      <c r="I57" s="243"/>
      <c r="K57" s="206" t="s">
        <v>231</v>
      </c>
      <c r="L57" s="206" t="s">
        <v>45</v>
      </c>
      <c r="M57" s="206" t="str">
        <f t="shared" ref="M57:M88" si="2">K57&amp;L57</f>
        <v>Spitex Region SolothurnFlumenthal</v>
      </c>
    </row>
    <row r="58" spans="1:13" x14ac:dyDescent="0.2">
      <c r="A58" s="3">
        <v>4114</v>
      </c>
      <c r="B58" s="3" t="s">
        <v>62</v>
      </c>
      <c r="C58" s="1">
        <v>38.130000000000003</v>
      </c>
      <c r="D58" s="1">
        <v>35.07</v>
      </c>
      <c r="E58" s="1">
        <v>32.69</v>
      </c>
      <c r="F58" s="1">
        <v>22.88</v>
      </c>
      <c r="G58" s="1">
        <v>21.04</v>
      </c>
      <c r="H58" s="1">
        <v>19.61</v>
      </c>
      <c r="I58" s="244" t="s">
        <v>259</v>
      </c>
      <c r="K58" s="206" t="s">
        <v>231</v>
      </c>
      <c r="L58" s="206" t="s">
        <v>65</v>
      </c>
      <c r="M58" s="206" t="str">
        <f t="shared" si="2"/>
        <v>Spitex Region SolothurnHubersdorf</v>
      </c>
    </row>
    <row r="59" spans="1:13" x14ac:dyDescent="0.2">
      <c r="A59" s="3">
        <v>4718</v>
      </c>
      <c r="B59" s="3" t="s">
        <v>63</v>
      </c>
      <c r="C59" s="1">
        <v>38.130000000000003</v>
      </c>
      <c r="D59" s="1">
        <v>35.07</v>
      </c>
      <c r="E59" s="1">
        <v>32.69</v>
      </c>
      <c r="F59" s="1">
        <v>22.88</v>
      </c>
      <c r="G59" s="1">
        <v>21.04</v>
      </c>
      <c r="H59" s="1">
        <v>19.61</v>
      </c>
      <c r="I59" s="243"/>
      <c r="K59" s="206" t="s">
        <v>231</v>
      </c>
      <c r="L59" s="206" t="s">
        <v>73</v>
      </c>
      <c r="M59" s="206" t="str">
        <f t="shared" si="2"/>
        <v>Spitex Region SolothurnLangendorf</v>
      </c>
    </row>
    <row r="60" spans="1:13" x14ac:dyDescent="0.2">
      <c r="A60" s="3">
        <v>4557</v>
      </c>
      <c r="B60" s="3" t="s">
        <v>64</v>
      </c>
      <c r="C60" s="1">
        <v>38.130000000000003</v>
      </c>
      <c r="D60" s="1">
        <v>35.07</v>
      </c>
      <c r="E60" s="1">
        <v>32.69</v>
      </c>
      <c r="F60" s="1">
        <v>22.88</v>
      </c>
      <c r="G60" s="1">
        <v>21.04</v>
      </c>
      <c r="H60" s="1">
        <v>19.61</v>
      </c>
      <c r="I60" s="243"/>
      <c r="K60" s="206" t="s">
        <v>231</v>
      </c>
      <c r="L60" s="206" t="s">
        <v>76</v>
      </c>
      <c r="M60" s="206" t="str">
        <f t="shared" si="2"/>
        <v>Spitex Region SolothurnLommiswil</v>
      </c>
    </row>
    <row r="61" spans="1:13" x14ac:dyDescent="0.2">
      <c r="A61" s="3">
        <v>4535</v>
      </c>
      <c r="B61" s="3" t="s">
        <v>65</v>
      </c>
      <c r="C61" s="1">
        <v>38.130000000000003</v>
      </c>
      <c r="D61" s="1">
        <v>35.07</v>
      </c>
      <c r="E61" s="1">
        <v>32.69</v>
      </c>
      <c r="F61" s="1">
        <v>22.88</v>
      </c>
      <c r="G61" s="1">
        <v>21.04</v>
      </c>
      <c r="H61" s="1">
        <v>19.61</v>
      </c>
      <c r="I61" s="243"/>
      <c r="K61" s="206" t="s">
        <v>231</v>
      </c>
      <c r="L61" s="206" t="s">
        <v>242</v>
      </c>
      <c r="M61" s="206" t="str">
        <f t="shared" si="2"/>
        <v>Spitex Region SolothurnNiederwil SO</v>
      </c>
    </row>
    <row r="62" spans="1:13" x14ac:dyDescent="0.2">
      <c r="A62" s="4">
        <v>4554</v>
      </c>
      <c r="B62" s="4" t="s">
        <v>66</v>
      </c>
      <c r="C62" s="1">
        <v>38.130000000000003</v>
      </c>
      <c r="D62" s="1">
        <v>35.07</v>
      </c>
      <c r="E62" s="1">
        <v>32.69</v>
      </c>
      <c r="F62" s="1">
        <v>22.88</v>
      </c>
      <c r="G62" s="1">
        <v>21.04</v>
      </c>
      <c r="H62" s="1">
        <v>19.61</v>
      </c>
      <c r="I62" s="243"/>
      <c r="K62" s="206" t="s">
        <v>231</v>
      </c>
      <c r="L62" s="206" t="s">
        <v>93</v>
      </c>
      <c r="M62" s="206" t="str">
        <f t="shared" si="2"/>
        <v>Spitex Region SolothurnOberdorf</v>
      </c>
    </row>
    <row r="63" spans="1:13" x14ac:dyDescent="0.2">
      <c r="A63" s="207">
        <v>4571</v>
      </c>
      <c r="B63" s="208" t="s">
        <v>217</v>
      </c>
      <c r="C63" s="1">
        <v>38.130000000000003</v>
      </c>
      <c r="D63" s="1">
        <v>35.07</v>
      </c>
      <c r="E63" s="1">
        <v>32.69</v>
      </c>
      <c r="F63" s="1">
        <v>22.88</v>
      </c>
      <c r="G63" s="1">
        <v>21.04</v>
      </c>
      <c r="H63" s="1">
        <v>19.61</v>
      </c>
      <c r="I63" s="243"/>
      <c r="K63" s="206" t="s">
        <v>231</v>
      </c>
      <c r="L63" s="206" t="s">
        <v>101</v>
      </c>
      <c r="M63" s="206" t="str">
        <f t="shared" si="2"/>
        <v>Spitex Region SolothurnRiedholz</v>
      </c>
    </row>
    <row r="64" spans="1:13" x14ac:dyDescent="0.2">
      <c r="A64" s="4">
        <v>4535</v>
      </c>
      <c r="B64" s="4" t="s">
        <v>67</v>
      </c>
      <c r="C64" s="1">
        <v>38.130000000000003</v>
      </c>
      <c r="D64" s="1">
        <v>35.07</v>
      </c>
      <c r="E64" s="1">
        <v>32.69</v>
      </c>
      <c r="F64" s="1">
        <v>22.88</v>
      </c>
      <c r="G64" s="1">
        <v>21.04</v>
      </c>
      <c r="H64" s="1">
        <v>19.61</v>
      </c>
      <c r="I64" s="243"/>
      <c r="K64" s="206" t="s">
        <v>231</v>
      </c>
      <c r="L64" s="206" t="s">
        <v>109</v>
      </c>
      <c r="M64" s="206" t="str">
        <f t="shared" si="2"/>
        <v>Spitex Region SolothurnSolothurn</v>
      </c>
    </row>
    <row r="65" spans="1:13" x14ac:dyDescent="0.2">
      <c r="A65" s="3">
        <v>4616</v>
      </c>
      <c r="B65" s="3" t="s">
        <v>68</v>
      </c>
      <c r="C65" s="1">
        <v>38.130000000000003</v>
      </c>
      <c r="D65" s="1">
        <v>35.07</v>
      </c>
      <c r="E65" s="1">
        <v>32.69</v>
      </c>
      <c r="F65" s="1">
        <v>22.88</v>
      </c>
      <c r="G65" s="1">
        <v>21.04</v>
      </c>
      <c r="H65" s="1">
        <v>19.61</v>
      </c>
      <c r="I65" s="243"/>
      <c r="K65" s="206" t="s">
        <v>255</v>
      </c>
      <c r="L65" s="206" t="s">
        <v>256</v>
      </c>
      <c r="M65" s="206" t="str">
        <f t="shared" si="2"/>
        <v>Spitex Schönenwerd, Niedergösgen, Eppenberg-WöschnauEppenberg-Wöschnau</v>
      </c>
    </row>
    <row r="66" spans="1:13" x14ac:dyDescent="0.2">
      <c r="A66" s="3">
        <v>4703</v>
      </c>
      <c r="B66" s="3" t="s">
        <v>69</v>
      </c>
      <c r="C66" s="1">
        <v>38.130000000000003</v>
      </c>
      <c r="D66" s="1">
        <v>35.07</v>
      </c>
      <c r="E66" s="1">
        <v>32.69</v>
      </c>
      <c r="F66" s="1">
        <v>22.88</v>
      </c>
      <c r="G66" s="1">
        <v>21.04</v>
      </c>
      <c r="H66" s="1">
        <v>19.61</v>
      </c>
      <c r="I66" s="243"/>
      <c r="K66" s="206" t="s">
        <v>255</v>
      </c>
      <c r="L66" s="206" t="s">
        <v>89</v>
      </c>
      <c r="M66" s="206" t="str">
        <f t="shared" si="2"/>
        <v>Spitex Schönenwerd, Niedergösgen, Eppenberg-WöschnauNiedergösgen</v>
      </c>
    </row>
    <row r="67" spans="1:13" x14ac:dyDescent="0.2">
      <c r="A67" s="4">
        <v>4468</v>
      </c>
      <c r="B67" s="4" t="s">
        <v>70</v>
      </c>
      <c r="C67" s="1">
        <v>38.130000000000003</v>
      </c>
      <c r="D67" s="1">
        <v>35.07</v>
      </c>
      <c r="E67" s="1">
        <v>32.69</v>
      </c>
      <c r="F67" s="1">
        <v>22.88</v>
      </c>
      <c r="G67" s="1">
        <v>21.04</v>
      </c>
      <c r="H67" s="1">
        <v>19.61</v>
      </c>
      <c r="I67" s="244" t="s">
        <v>70</v>
      </c>
      <c r="K67" s="206" t="s">
        <v>255</v>
      </c>
      <c r="L67" s="206" t="s">
        <v>106</v>
      </c>
      <c r="M67" s="206" t="str">
        <f t="shared" si="2"/>
        <v>Spitex Schönenwerd, Niedergösgen, Eppenberg-WöschnauSchönenwerd</v>
      </c>
    </row>
    <row r="68" spans="1:13" x14ac:dyDescent="0.2">
      <c r="A68" s="3">
        <v>4245</v>
      </c>
      <c r="B68" s="3" t="s">
        <v>71</v>
      </c>
      <c r="C68" s="1">
        <v>38.130000000000003</v>
      </c>
      <c r="D68" s="1">
        <v>35.07</v>
      </c>
      <c r="E68" s="1">
        <v>32.69</v>
      </c>
      <c r="F68" s="1">
        <v>22.88</v>
      </c>
      <c r="G68" s="1">
        <v>21.04</v>
      </c>
      <c r="H68" s="1">
        <v>19.61</v>
      </c>
      <c r="I68" s="243"/>
      <c r="K68" s="206" t="s">
        <v>257</v>
      </c>
      <c r="L68" s="206" t="s">
        <v>20</v>
      </c>
      <c r="M68" s="206" t="str">
        <f t="shared" si="2"/>
        <v>Spitex Solothurnisches LeimentalBättwil</v>
      </c>
    </row>
    <row r="69" spans="1:13" x14ac:dyDescent="0.2">
      <c r="A69" s="3">
        <v>4566</v>
      </c>
      <c r="B69" s="3" t="s">
        <v>72</v>
      </c>
      <c r="C69" s="1">
        <v>38.130000000000003</v>
      </c>
      <c r="D69" s="1">
        <v>35.07</v>
      </c>
      <c r="E69" s="1">
        <v>32.69</v>
      </c>
      <c r="F69" s="1">
        <v>22.88</v>
      </c>
      <c r="G69" s="1">
        <v>21.04</v>
      </c>
      <c r="H69" s="1">
        <v>19.61</v>
      </c>
      <c r="I69" s="243"/>
      <c r="K69" s="206" t="s">
        <v>257</v>
      </c>
      <c r="L69" s="206" t="s">
        <v>258</v>
      </c>
      <c r="M69" s="206" t="str">
        <f t="shared" si="2"/>
        <v>Spitex Solothurnisches LeimentalBurg im Leimental</v>
      </c>
    </row>
    <row r="70" spans="1:13" x14ac:dyDescent="0.2">
      <c r="A70" s="205">
        <v>4586</v>
      </c>
      <c r="B70" s="208" t="s">
        <v>215</v>
      </c>
      <c r="C70" s="1">
        <v>38.130000000000003</v>
      </c>
      <c r="D70" s="1">
        <v>35.07</v>
      </c>
      <c r="E70" s="1">
        <v>32.69</v>
      </c>
      <c r="F70" s="1">
        <v>22.88</v>
      </c>
      <c r="G70" s="1">
        <v>21.04</v>
      </c>
      <c r="H70" s="1">
        <v>19.61</v>
      </c>
      <c r="I70" s="244" t="s">
        <v>221</v>
      </c>
      <c r="K70" s="206" t="s">
        <v>257</v>
      </c>
      <c r="L70" s="206" t="s">
        <v>62</v>
      </c>
      <c r="M70" s="206" t="str">
        <f t="shared" si="2"/>
        <v>Spitex Solothurnisches LeimentalHofstetten</v>
      </c>
    </row>
    <row r="71" spans="1:13" x14ac:dyDescent="0.2">
      <c r="A71" s="205">
        <v>4581</v>
      </c>
      <c r="B71" s="208" t="s">
        <v>228</v>
      </c>
      <c r="C71" s="1">
        <v>38.130000000000003</v>
      </c>
      <c r="D71" s="1">
        <v>35.07</v>
      </c>
      <c r="E71" s="1">
        <v>32.69</v>
      </c>
      <c r="F71" s="1">
        <v>22.88</v>
      </c>
      <c r="G71" s="1">
        <v>21.04</v>
      </c>
      <c r="H71" s="1">
        <v>19.61</v>
      </c>
      <c r="I71" s="244" t="s">
        <v>221</v>
      </c>
      <c r="K71" s="206" t="s">
        <v>257</v>
      </c>
      <c r="L71" s="206" t="s">
        <v>259</v>
      </c>
      <c r="M71" s="206" t="str">
        <f t="shared" si="2"/>
        <v>Spitex Solothurnisches LeimentalHofstetten-Flüh</v>
      </c>
    </row>
    <row r="72" spans="1:13" x14ac:dyDescent="0.2">
      <c r="A72" s="3">
        <v>4513</v>
      </c>
      <c r="B72" s="3" t="s">
        <v>73</v>
      </c>
      <c r="C72" s="1">
        <v>38.130000000000003</v>
      </c>
      <c r="D72" s="1">
        <v>35.07</v>
      </c>
      <c r="E72" s="1">
        <v>32.69</v>
      </c>
      <c r="F72" s="1">
        <v>22.88</v>
      </c>
      <c r="G72" s="1">
        <v>21.04</v>
      </c>
      <c r="H72" s="1">
        <v>19.61</v>
      </c>
      <c r="I72" s="243"/>
      <c r="K72" s="206" t="s">
        <v>257</v>
      </c>
      <c r="L72" s="206" t="s">
        <v>260</v>
      </c>
      <c r="M72" s="206" t="str">
        <f t="shared" si="2"/>
        <v>Spitex Solothurnisches LeimentalMariastein</v>
      </c>
    </row>
    <row r="73" spans="1:13" x14ac:dyDescent="0.2">
      <c r="A73" s="3">
        <v>4712</v>
      </c>
      <c r="B73" s="3" t="s">
        <v>74</v>
      </c>
      <c r="C73" s="1">
        <v>38.130000000000003</v>
      </c>
      <c r="D73" s="1">
        <v>35.07</v>
      </c>
      <c r="E73" s="1">
        <v>32.69</v>
      </c>
      <c r="F73" s="1">
        <v>22.88</v>
      </c>
      <c r="G73" s="1">
        <v>21.04</v>
      </c>
      <c r="H73" s="1">
        <v>19.61</v>
      </c>
      <c r="I73" s="243"/>
      <c r="K73" s="206" t="s">
        <v>257</v>
      </c>
      <c r="L73" s="206" t="s">
        <v>85</v>
      </c>
      <c r="M73" s="206" t="str">
        <f t="shared" si="2"/>
        <v>Spitex Solothurnisches LeimentalMetzerlen</v>
      </c>
    </row>
    <row r="74" spans="1:13" x14ac:dyDescent="0.2">
      <c r="A74" s="3">
        <v>4573</v>
      </c>
      <c r="B74" s="3" t="s">
        <v>75</v>
      </c>
      <c r="C74" s="1">
        <v>38.130000000000003</v>
      </c>
      <c r="D74" s="1">
        <v>35.07</v>
      </c>
      <c r="E74" s="1">
        <v>32.69</v>
      </c>
      <c r="F74" s="1">
        <v>22.88</v>
      </c>
      <c r="G74" s="1">
        <v>21.04</v>
      </c>
      <c r="H74" s="1">
        <v>19.61</v>
      </c>
      <c r="I74" s="243"/>
      <c r="K74" s="206" t="s">
        <v>257</v>
      </c>
      <c r="L74" s="206" t="s">
        <v>102</v>
      </c>
      <c r="M74" s="206" t="str">
        <f t="shared" si="2"/>
        <v>Spitex Solothurnisches LeimentalRodersdorf</v>
      </c>
    </row>
    <row r="75" spans="1:13" x14ac:dyDescent="0.2">
      <c r="A75" s="3">
        <v>4514</v>
      </c>
      <c r="B75" s="209" t="s">
        <v>76</v>
      </c>
      <c r="C75" s="1">
        <v>38.130000000000003</v>
      </c>
      <c r="D75" s="1">
        <v>35.07</v>
      </c>
      <c r="E75" s="1">
        <v>32.69</v>
      </c>
      <c r="F75" s="1">
        <v>22.88</v>
      </c>
      <c r="G75" s="1">
        <v>21.04</v>
      </c>
      <c r="H75" s="1">
        <v>19.61</v>
      </c>
      <c r="I75" s="243"/>
      <c r="K75" s="206" t="s">
        <v>257</v>
      </c>
      <c r="L75" s="206" t="s">
        <v>120</v>
      </c>
      <c r="M75" s="206" t="str">
        <f t="shared" si="2"/>
        <v>Spitex Solothurnisches LeimentalWitterswil</v>
      </c>
    </row>
    <row r="76" spans="1:13" x14ac:dyDescent="0.2">
      <c r="A76" s="3">
        <v>4654</v>
      </c>
      <c r="B76" s="3" t="s">
        <v>77</v>
      </c>
      <c r="C76" s="1">
        <v>38.130000000000003</v>
      </c>
      <c r="D76" s="1">
        <v>35.07</v>
      </c>
      <c r="E76" s="1">
        <v>32.69</v>
      </c>
      <c r="F76" s="1">
        <v>22.88</v>
      </c>
      <c r="G76" s="1">
        <v>21.04</v>
      </c>
      <c r="H76" s="1">
        <v>19.61</v>
      </c>
      <c r="I76" s="243"/>
      <c r="K76" s="206" t="s">
        <v>261</v>
      </c>
      <c r="L76" s="206" t="s">
        <v>15</v>
      </c>
      <c r="M76" s="206" t="str">
        <f t="shared" si="2"/>
        <v>SPITEX ThalAedermannsdorf</v>
      </c>
    </row>
    <row r="77" spans="1:13" x14ac:dyDescent="0.2">
      <c r="A77" s="3">
        <v>4574</v>
      </c>
      <c r="B77" s="209" t="s">
        <v>78</v>
      </c>
      <c r="C77" s="1">
        <v>38.130000000000003</v>
      </c>
      <c r="D77" s="1">
        <v>35.07</v>
      </c>
      <c r="E77" s="1">
        <v>32.69</v>
      </c>
      <c r="F77" s="1">
        <v>22.88</v>
      </c>
      <c r="G77" s="1">
        <v>21.04</v>
      </c>
      <c r="H77" s="1">
        <v>19.61</v>
      </c>
      <c r="I77" s="244" t="s">
        <v>303</v>
      </c>
      <c r="K77" s="206" t="s">
        <v>261</v>
      </c>
      <c r="L77" s="206" t="s">
        <v>18</v>
      </c>
      <c r="M77" s="206" t="str">
        <f t="shared" si="2"/>
        <v>SPITEX ThalBalsthal</v>
      </c>
    </row>
    <row r="78" spans="1:13" x14ac:dyDescent="0.2">
      <c r="A78" s="205">
        <v>4574</v>
      </c>
      <c r="B78" s="208" t="s">
        <v>219</v>
      </c>
      <c r="C78" s="1">
        <v>38.130000000000003</v>
      </c>
      <c r="D78" s="1">
        <v>35.07</v>
      </c>
      <c r="E78" s="1">
        <v>32.69</v>
      </c>
      <c r="F78" s="1">
        <v>22.88</v>
      </c>
      <c r="G78" s="1">
        <v>21.04</v>
      </c>
      <c r="H78" s="1">
        <v>19.61</v>
      </c>
      <c r="I78" s="244" t="s">
        <v>303</v>
      </c>
      <c r="K78" s="206" t="s">
        <v>261</v>
      </c>
      <c r="L78" s="206" t="s">
        <v>47</v>
      </c>
      <c r="M78" s="206" t="str">
        <f t="shared" si="2"/>
        <v>SPITEX ThalGänsbrunnen</v>
      </c>
    </row>
    <row r="79" spans="1:13" x14ac:dyDescent="0.2">
      <c r="A79" s="3">
        <v>4542</v>
      </c>
      <c r="B79" s="3" t="s">
        <v>79</v>
      </c>
      <c r="C79" s="1">
        <v>38.130000000000003</v>
      </c>
      <c r="D79" s="1">
        <v>35.07</v>
      </c>
      <c r="E79" s="1">
        <v>32.69</v>
      </c>
      <c r="F79" s="1">
        <v>22.88</v>
      </c>
      <c r="G79" s="1">
        <v>21.04</v>
      </c>
      <c r="H79" s="1">
        <v>19.61</v>
      </c>
      <c r="I79" s="243"/>
      <c r="K79" s="206" t="s">
        <v>261</v>
      </c>
      <c r="L79" s="206" t="s">
        <v>59</v>
      </c>
      <c r="M79" s="206" t="str">
        <f t="shared" si="2"/>
        <v>SPITEX ThalHerbetswil</v>
      </c>
    </row>
    <row r="80" spans="1:13" x14ac:dyDescent="0.2">
      <c r="A80" s="3">
        <v>4571</v>
      </c>
      <c r="B80" s="209" t="s">
        <v>80</v>
      </c>
      <c r="C80" s="1">
        <v>38.130000000000003</v>
      </c>
      <c r="D80" s="1">
        <v>35.07</v>
      </c>
      <c r="E80" s="1">
        <v>32.69</v>
      </c>
      <c r="F80" s="1">
        <v>22.88</v>
      </c>
      <c r="G80" s="1">
        <v>21.04</v>
      </c>
      <c r="H80" s="1">
        <v>19.61</v>
      </c>
      <c r="I80" s="243"/>
      <c r="K80" s="206" t="s">
        <v>261</v>
      </c>
      <c r="L80" s="206" t="s">
        <v>63</v>
      </c>
      <c r="M80" s="206" t="str">
        <f t="shared" si="2"/>
        <v>SPITEX ThalHolderbank</v>
      </c>
    </row>
    <row r="81" spans="1:13" x14ac:dyDescent="0.2">
      <c r="A81" s="3">
        <v>4584</v>
      </c>
      <c r="B81" s="209" t="s">
        <v>81</v>
      </c>
      <c r="C81" s="1">
        <v>38.130000000000003</v>
      </c>
      <c r="D81" s="1">
        <v>35.07</v>
      </c>
      <c r="E81" s="1">
        <v>32.69</v>
      </c>
      <c r="F81" s="1">
        <v>22.88</v>
      </c>
      <c r="G81" s="1">
        <v>21.04</v>
      </c>
      <c r="H81" s="1">
        <v>19.61</v>
      </c>
      <c r="I81" s="243"/>
      <c r="K81" s="206" t="s">
        <v>261</v>
      </c>
      <c r="L81" s="206" t="s">
        <v>74</v>
      </c>
      <c r="M81" s="206" t="str">
        <f t="shared" si="2"/>
        <v>SPITEX ThalLaupersdorf</v>
      </c>
    </row>
    <row r="82" spans="1:13" x14ac:dyDescent="0.2">
      <c r="A82" s="5">
        <v>4713</v>
      </c>
      <c r="B82" s="5" t="s">
        <v>82</v>
      </c>
      <c r="C82" s="1">
        <v>38.130000000000003</v>
      </c>
      <c r="D82" s="1">
        <v>35.07</v>
      </c>
      <c r="E82" s="1">
        <v>32.69</v>
      </c>
      <c r="F82" s="1">
        <v>22.88</v>
      </c>
      <c r="G82" s="1">
        <v>21.04</v>
      </c>
      <c r="H82" s="1">
        <v>19.61</v>
      </c>
      <c r="I82" s="243"/>
      <c r="K82" s="206" t="s">
        <v>261</v>
      </c>
      <c r="L82" s="206" t="s">
        <v>82</v>
      </c>
      <c r="M82" s="206" t="str">
        <f t="shared" si="2"/>
        <v>SPITEX ThalMatzendorf</v>
      </c>
    </row>
    <row r="83" spans="1:13" x14ac:dyDescent="0.2">
      <c r="A83" s="4">
        <v>4233</v>
      </c>
      <c r="B83" s="4" t="s">
        <v>83</v>
      </c>
      <c r="C83" s="1">
        <v>38.130000000000003</v>
      </c>
      <c r="D83" s="1">
        <v>35.07</v>
      </c>
      <c r="E83" s="1">
        <v>32.69</v>
      </c>
      <c r="F83" s="1">
        <v>22.88</v>
      </c>
      <c r="G83" s="1">
        <v>21.04</v>
      </c>
      <c r="H83" s="1">
        <v>19.61</v>
      </c>
      <c r="I83" s="243"/>
      <c r="K83" s="206" t="s">
        <v>261</v>
      </c>
      <c r="L83" s="206" t="s">
        <v>86</v>
      </c>
      <c r="M83" s="206" t="str">
        <f t="shared" si="2"/>
        <v>SPITEX ThalMümliswil</v>
      </c>
    </row>
    <row r="84" spans="1:13" ht="13.5" thickBot="1" x14ac:dyDescent="0.25">
      <c r="A84" s="6">
        <v>3254</v>
      </c>
      <c r="B84" s="210" t="s">
        <v>84</v>
      </c>
      <c r="C84" s="1">
        <v>38.130000000000003</v>
      </c>
      <c r="D84" s="1">
        <v>35.07</v>
      </c>
      <c r="E84" s="1">
        <v>32.69</v>
      </c>
      <c r="F84" s="1">
        <v>22.88</v>
      </c>
      <c r="G84" s="1">
        <v>21.04</v>
      </c>
      <c r="H84" s="1">
        <v>19.61</v>
      </c>
      <c r="I84" s="244" t="s">
        <v>84</v>
      </c>
      <c r="K84" s="206" t="s">
        <v>261</v>
      </c>
      <c r="L84" s="206" t="s">
        <v>262</v>
      </c>
      <c r="M84" s="206" t="str">
        <f t="shared" si="2"/>
        <v>SPITEX ThalRamiswil</v>
      </c>
    </row>
    <row r="85" spans="1:13" x14ac:dyDescent="0.2">
      <c r="A85" s="7">
        <v>4116</v>
      </c>
      <c r="B85" s="7" t="s">
        <v>85</v>
      </c>
      <c r="C85" s="1">
        <v>38.130000000000003</v>
      </c>
      <c r="D85" s="1">
        <v>35.07</v>
      </c>
      <c r="E85" s="1">
        <v>32.69</v>
      </c>
      <c r="F85" s="1">
        <v>22.88</v>
      </c>
      <c r="G85" s="1">
        <v>21.04</v>
      </c>
      <c r="H85" s="1">
        <v>19.61</v>
      </c>
      <c r="I85" s="243"/>
      <c r="K85" s="206" t="s">
        <v>261</v>
      </c>
      <c r="L85" s="206" t="s">
        <v>117</v>
      </c>
      <c r="M85" s="206" t="str">
        <f t="shared" si="2"/>
        <v>SPITEX ThalWelschenrohr</v>
      </c>
    </row>
    <row r="86" spans="1:13" x14ac:dyDescent="0.2">
      <c r="A86" s="205">
        <v>4583</v>
      </c>
      <c r="B86" s="208" t="s">
        <v>29</v>
      </c>
      <c r="C86" s="1">
        <v>38.130000000000003</v>
      </c>
      <c r="D86" s="1">
        <v>35.07</v>
      </c>
      <c r="E86" s="1">
        <v>32.69</v>
      </c>
      <c r="F86" s="1">
        <v>22.88</v>
      </c>
      <c r="G86" s="1">
        <v>21.04</v>
      </c>
      <c r="H86" s="1">
        <v>19.61</v>
      </c>
      <c r="I86" s="244" t="s">
        <v>221</v>
      </c>
      <c r="K86" s="206" t="s">
        <v>263</v>
      </c>
      <c r="L86" s="206" t="s">
        <v>19</v>
      </c>
      <c r="M86" s="206" t="str">
        <f t="shared" si="2"/>
        <v>SPITEX Thierstein/DorneckbergBärschwil</v>
      </c>
    </row>
    <row r="87" spans="1:13" x14ac:dyDescent="0.2">
      <c r="A87" s="3">
        <v>4717</v>
      </c>
      <c r="B87" s="3" t="s">
        <v>86</v>
      </c>
      <c r="C87" s="1">
        <v>38.130000000000003</v>
      </c>
      <c r="D87" s="1">
        <v>35.07</v>
      </c>
      <c r="E87" s="1">
        <v>32.69</v>
      </c>
      <c r="F87" s="1">
        <v>22.88</v>
      </c>
      <c r="G87" s="1">
        <v>21.04</v>
      </c>
      <c r="H87" s="1">
        <v>19.61</v>
      </c>
      <c r="I87" s="244" t="s">
        <v>286</v>
      </c>
      <c r="K87" s="206" t="s">
        <v>263</v>
      </c>
      <c r="L87" s="206" t="s">
        <v>21</v>
      </c>
      <c r="M87" s="206" t="str">
        <f t="shared" si="2"/>
        <v>SPITEX Thierstein/DorneckbergBeinwil</v>
      </c>
    </row>
    <row r="88" spans="1:13" x14ac:dyDescent="0.2">
      <c r="A88" s="3">
        <v>4623</v>
      </c>
      <c r="B88" s="3" t="s">
        <v>87</v>
      </c>
      <c r="C88" s="1">
        <v>38.130000000000003</v>
      </c>
      <c r="D88" s="1">
        <v>35.07</v>
      </c>
      <c r="E88" s="1">
        <v>32.69</v>
      </c>
      <c r="F88" s="1">
        <v>22.88</v>
      </c>
      <c r="G88" s="1">
        <v>21.04</v>
      </c>
      <c r="H88" s="1">
        <v>19.61</v>
      </c>
      <c r="I88" s="243"/>
      <c r="K88" s="206" t="s">
        <v>263</v>
      </c>
      <c r="L88" s="206" t="s">
        <v>28</v>
      </c>
      <c r="M88" s="206" t="str">
        <f t="shared" si="2"/>
        <v>SPITEX Thierstein/DorneckbergBreitenbach</v>
      </c>
    </row>
    <row r="89" spans="1:13" x14ac:dyDescent="0.2">
      <c r="A89" s="3">
        <v>4626</v>
      </c>
      <c r="B89" s="3" t="s">
        <v>88</v>
      </c>
      <c r="C89" s="1">
        <v>38.130000000000003</v>
      </c>
      <c r="D89" s="1">
        <v>35.07</v>
      </c>
      <c r="E89" s="1">
        <v>32.69</v>
      </c>
      <c r="F89" s="1">
        <v>22.88</v>
      </c>
      <c r="G89" s="1">
        <v>21.04</v>
      </c>
      <c r="H89" s="1">
        <v>19.61</v>
      </c>
      <c r="I89" s="243"/>
      <c r="K89" s="206" t="s">
        <v>263</v>
      </c>
      <c r="L89" s="206" t="s">
        <v>264</v>
      </c>
      <c r="M89" s="206" t="str">
        <f t="shared" ref="M89:M119" si="3">K89&amp;L89</f>
        <v>SPITEX Thierstein/DorneckbergBüren SO</v>
      </c>
    </row>
    <row r="90" spans="1:13" x14ac:dyDescent="0.2">
      <c r="A90" s="3">
        <v>5013</v>
      </c>
      <c r="B90" s="3" t="s">
        <v>89</v>
      </c>
      <c r="C90" s="1">
        <v>38.130000000000003</v>
      </c>
      <c r="D90" s="1">
        <v>35.07</v>
      </c>
      <c r="E90" s="1">
        <v>32.69</v>
      </c>
      <c r="F90" s="1">
        <v>22.88</v>
      </c>
      <c r="G90" s="1">
        <v>21.04</v>
      </c>
      <c r="H90" s="1">
        <v>19.61</v>
      </c>
      <c r="I90" s="243"/>
      <c r="K90" s="206" t="s">
        <v>263</v>
      </c>
      <c r="L90" s="206" t="s">
        <v>31</v>
      </c>
      <c r="M90" s="206" t="str">
        <f t="shared" si="3"/>
        <v>SPITEX Thierstein/DorneckbergBüsserach</v>
      </c>
    </row>
    <row r="91" spans="1:13" x14ac:dyDescent="0.2">
      <c r="A91" s="5">
        <v>4412</v>
      </c>
      <c r="B91" s="5" t="s">
        <v>90</v>
      </c>
      <c r="C91" s="1">
        <v>38.130000000000003</v>
      </c>
      <c r="D91" s="1">
        <v>35.07</v>
      </c>
      <c r="E91" s="1">
        <v>32.69</v>
      </c>
      <c r="F91" s="1">
        <v>22.88</v>
      </c>
      <c r="G91" s="1">
        <v>21.04</v>
      </c>
      <c r="H91" s="1">
        <v>19.61</v>
      </c>
      <c r="I91" s="243"/>
      <c r="K91" s="206" t="s">
        <v>263</v>
      </c>
      <c r="L91" s="206" t="s">
        <v>43</v>
      </c>
      <c r="M91" s="206" t="str">
        <f t="shared" si="3"/>
        <v>SPITEX Thierstein/DorneckbergFehren</v>
      </c>
    </row>
    <row r="92" spans="1:13" x14ac:dyDescent="0.2">
      <c r="A92" s="3">
        <v>4208</v>
      </c>
      <c r="B92" s="3" t="s">
        <v>91</v>
      </c>
      <c r="C92" s="1">
        <v>38.130000000000003</v>
      </c>
      <c r="D92" s="1">
        <v>35.07</v>
      </c>
      <c r="E92" s="1">
        <v>32.69</v>
      </c>
      <c r="F92" s="1">
        <v>22.88</v>
      </c>
      <c r="G92" s="1">
        <v>21.04</v>
      </c>
      <c r="H92" s="1">
        <v>19.61</v>
      </c>
      <c r="I92" s="243"/>
      <c r="K92" s="206" t="s">
        <v>263</v>
      </c>
      <c r="L92" s="206" t="s">
        <v>71</v>
      </c>
      <c r="M92" s="206" t="str">
        <f t="shared" si="3"/>
        <v>SPITEX Thierstein/DorneckbergKleinlützel</v>
      </c>
    </row>
    <row r="93" spans="1:13" x14ac:dyDescent="0.2">
      <c r="A93" s="4">
        <v>4625</v>
      </c>
      <c r="B93" s="4" t="s">
        <v>92</v>
      </c>
      <c r="C93" s="1">
        <v>38.130000000000003</v>
      </c>
      <c r="D93" s="1">
        <v>35.07</v>
      </c>
      <c r="E93" s="1">
        <v>32.69</v>
      </c>
      <c r="F93" s="1">
        <v>22.88</v>
      </c>
      <c r="G93" s="1">
        <v>21.04</v>
      </c>
      <c r="H93" s="1">
        <v>19.61</v>
      </c>
      <c r="I93" s="243"/>
      <c r="K93" s="206" t="s">
        <v>263</v>
      </c>
      <c r="L93" s="206" t="s">
        <v>83</v>
      </c>
      <c r="M93" s="206" t="str">
        <f t="shared" si="3"/>
        <v>SPITEX Thierstein/DorneckbergMeltingen</v>
      </c>
    </row>
    <row r="94" spans="1:13" x14ac:dyDescent="0.2">
      <c r="A94" s="3">
        <v>4515</v>
      </c>
      <c r="B94" s="3" t="s">
        <v>93</v>
      </c>
      <c r="C94" s="1">
        <v>38.130000000000003</v>
      </c>
      <c r="D94" s="1">
        <v>35.07</v>
      </c>
      <c r="E94" s="1">
        <v>32.69</v>
      </c>
      <c r="F94" s="1">
        <v>22.88</v>
      </c>
      <c r="G94" s="1">
        <v>21.04</v>
      </c>
      <c r="H94" s="1">
        <v>19.61</v>
      </c>
      <c r="I94" s="243"/>
      <c r="K94" s="206" t="s">
        <v>263</v>
      </c>
      <c r="L94" s="206" t="s">
        <v>90</v>
      </c>
      <c r="M94" s="206" t="str">
        <f t="shared" si="3"/>
        <v>SPITEX Thierstein/DorneckbergNuglar</v>
      </c>
    </row>
    <row r="95" spans="1:13" x14ac:dyDescent="0.2">
      <c r="A95" s="3">
        <v>4564</v>
      </c>
      <c r="B95" s="3" t="s">
        <v>94</v>
      </c>
      <c r="C95" s="1">
        <v>38.130000000000003</v>
      </c>
      <c r="D95" s="1">
        <v>35.07</v>
      </c>
      <c r="E95" s="1">
        <v>32.69</v>
      </c>
      <c r="F95" s="1">
        <v>22.88</v>
      </c>
      <c r="G95" s="1">
        <v>21.04</v>
      </c>
      <c r="H95" s="1">
        <v>19.61</v>
      </c>
      <c r="I95" s="243"/>
      <c r="K95" s="206" t="s">
        <v>263</v>
      </c>
      <c r="L95" s="206" t="s">
        <v>91</v>
      </c>
      <c r="M95" s="206" t="str">
        <f t="shared" si="3"/>
        <v>SPITEX Thierstein/DorneckbergNunningen</v>
      </c>
    </row>
    <row r="96" spans="1:13" x14ac:dyDescent="0.2">
      <c r="A96" s="3">
        <v>4653</v>
      </c>
      <c r="B96" s="3" t="s">
        <v>95</v>
      </c>
      <c r="C96" s="1">
        <v>38.130000000000003</v>
      </c>
      <c r="D96" s="1">
        <v>35.07</v>
      </c>
      <c r="E96" s="1">
        <v>32.69</v>
      </c>
      <c r="F96" s="1">
        <v>22.88</v>
      </c>
      <c r="G96" s="1">
        <v>21.04</v>
      </c>
      <c r="H96" s="1">
        <v>19.61</v>
      </c>
      <c r="I96" s="243"/>
      <c r="K96" s="206" t="s">
        <v>263</v>
      </c>
      <c r="L96" s="206" t="s">
        <v>107</v>
      </c>
      <c r="M96" s="206" t="str">
        <f t="shared" si="3"/>
        <v>SPITEX Thierstein/DorneckbergSeewen</v>
      </c>
    </row>
    <row r="97" spans="1:13" x14ac:dyDescent="0.2">
      <c r="A97" s="3">
        <v>4566</v>
      </c>
      <c r="B97" s="3" t="s">
        <v>96</v>
      </c>
      <c r="C97" s="1">
        <v>38.130000000000003</v>
      </c>
      <c r="D97" s="1">
        <v>35.07</v>
      </c>
      <c r="E97" s="1">
        <v>32.69</v>
      </c>
      <c r="F97" s="1">
        <v>22.88</v>
      </c>
      <c r="G97" s="1">
        <v>21.04</v>
      </c>
      <c r="H97" s="1">
        <v>19.61</v>
      </c>
      <c r="I97" s="243"/>
      <c r="K97" s="206" t="s">
        <v>263</v>
      </c>
      <c r="L97" s="206" t="s">
        <v>265</v>
      </c>
      <c r="M97" s="206" t="str">
        <f t="shared" si="3"/>
        <v>SPITEX Thierstein/DorneckbergSt. Pantaleon</v>
      </c>
    </row>
    <row r="98" spans="1:13" x14ac:dyDescent="0.2">
      <c r="A98" s="3">
        <v>4702</v>
      </c>
      <c r="B98" s="3" t="s">
        <v>97</v>
      </c>
      <c r="C98" s="1">
        <v>38.130000000000003</v>
      </c>
      <c r="D98" s="1">
        <v>35.07</v>
      </c>
      <c r="E98" s="1">
        <v>32.69</v>
      </c>
      <c r="F98" s="1">
        <v>22.88</v>
      </c>
      <c r="G98" s="1">
        <v>21.04</v>
      </c>
      <c r="H98" s="1">
        <v>19.61</v>
      </c>
      <c r="I98" s="243"/>
      <c r="K98" s="206" t="s">
        <v>263</v>
      </c>
      <c r="L98" s="206" t="s">
        <v>123</v>
      </c>
      <c r="M98" s="206" t="str">
        <f t="shared" si="3"/>
        <v>SPITEX Thierstein/DorneckbergZullwil</v>
      </c>
    </row>
    <row r="99" spans="1:13" x14ac:dyDescent="0.2">
      <c r="A99" s="3">
        <v>4600</v>
      </c>
      <c r="B99" s="209" t="s">
        <v>98</v>
      </c>
      <c r="C99" s="1">
        <v>38.130000000000003</v>
      </c>
      <c r="D99" s="1">
        <v>35.07</v>
      </c>
      <c r="E99" s="1">
        <v>32.69</v>
      </c>
      <c r="F99" s="1">
        <v>22.88</v>
      </c>
      <c r="G99" s="1">
        <v>21.04</v>
      </c>
      <c r="H99" s="1">
        <v>19.61</v>
      </c>
      <c r="I99" s="243"/>
      <c r="K99" s="206" t="s">
        <v>266</v>
      </c>
      <c r="L99" s="206" t="s">
        <v>113</v>
      </c>
      <c r="M99" s="206" t="str">
        <f t="shared" si="3"/>
        <v>SPITEX TrimbachTrimbach</v>
      </c>
    </row>
    <row r="100" spans="1:13" x14ac:dyDescent="0.2">
      <c r="A100" s="3">
        <v>4565</v>
      </c>
      <c r="B100" s="3" t="s">
        <v>99</v>
      </c>
      <c r="C100" s="1">
        <v>38.130000000000003</v>
      </c>
      <c r="D100" s="1">
        <v>35.07</v>
      </c>
      <c r="E100" s="1">
        <v>32.69</v>
      </c>
      <c r="F100" s="1">
        <v>22.88</v>
      </c>
      <c r="G100" s="1">
        <v>21.04</v>
      </c>
      <c r="H100" s="1">
        <v>19.61</v>
      </c>
      <c r="I100" s="243"/>
      <c r="K100" s="206" t="s">
        <v>267</v>
      </c>
      <c r="L100" s="206" t="s">
        <v>268</v>
      </c>
      <c r="M100" s="206" t="str">
        <f t="shared" si="3"/>
        <v>SPITEX Untergäu AGAllerheiligenberg</v>
      </c>
    </row>
    <row r="101" spans="1:13" x14ac:dyDescent="0.2">
      <c r="A101" s="4">
        <v>4613</v>
      </c>
      <c r="B101" s="4" t="s">
        <v>100</v>
      </c>
      <c r="C101" s="1">
        <v>38.130000000000003</v>
      </c>
      <c r="D101" s="1">
        <v>35.07</v>
      </c>
      <c r="E101" s="1">
        <v>32.69</v>
      </c>
      <c r="F101" s="1">
        <v>22.88</v>
      </c>
      <c r="G101" s="1">
        <v>21.04</v>
      </c>
      <c r="H101" s="1">
        <v>19.61</v>
      </c>
      <c r="I101" s="244" t="s">
        <v>100</v>
      </c>
      <c r="K101" s="206" t="s">
        <v>267</v>
      </c>
      <c r="L101" s="206" t="s">
        <v>55</v>
      </c>
      <c r="M101" s="206" t="str">
        <f t="shared" si="3"/>
        <v>SPITEX Untergäu AGHägendorf</v>
      </c>
    </row>
    <row r="102" spans="1:13" x14ac:dyDescent="0.2">
      <c r="A102" s="3">
        <v>4533</v>
      </c>
      <c r="B102" s="3" t="s">
        <v>101</v>
      </c>
      <c r="C102" s="1">
        <v>38.130000000000003</v>
      </c>
      <c r="D102" s="1">
        <v>35.07</v>
      </c>
      <c r="E102" s="1">
        <v>32.69</v>
      </c>
      <c r="F102" s="1">
        <v>22.88</v>
      </c>
      <c r="G102" s="1">
        <v>21.04</v>
      </c>
      <c r="H102" s="1">
        <v>19.61</v>
      </c>
      <c r="I102" s="244" t="s">
        <v>101</v>
      </c>
      <c r="K102" s="206" t="s">
        <v>267</v>
      </c>
      <c r="L102" s="206" t="s">
        <v>100</v>
      </c>
      <c r="M102" s="206" t="str">
        <f t="shared" si="3"/>
        <v>SPITEX Untergäu AGRickenbach</v>
      </c>
    </row>
    <row r="103" spans="1:13" x14ac:dyDescent="0.2">
      <c r="A103" s="3">
        <v>4118</v>
      </c>
      <c r="B103" s="3" t="s">
        <v>102</v>
      </c>
      <c r="C103" s="1">
        <v>38.130000000000003</v>
      </c>
      <c r="D103" s="1">
        <v>35.07</v>
      </c>
      <c r="E103" s="1">
        <v>32.69</v>
      </c>
      <c r="F103" s="1">
        <v>22.88</v>
      </c>
      <c r="G103" s="1">
        <v>21.04</v>
      </c>
      <c r="H103" s="1">
        <v>19.61</v>
      </c>
      <c r="I103" s="243"/>
      <c r="K103" s="206" t="s">
        <v>267</v>
      </c>
      <c r="L103" s="206" t="s">
        <v>269</v>
      </c>
      <c r="M103" s="206" t="str">
        <f t="shared" si="3"/>
        <v>SPITEX Untergäu AGWangen b. Olten</v>
      </c>
    </row>
    <row r="104" spans="1:13" x14ac:dyDescent="0.2">
      <c r="A104" s="3">
        <v>4655</v>
      </c>
      <c r="B104" s="3" t="s">
        <v>103</v>
      </c>
      <c r="C104" s="1">
        <v>38.130000000000003</v>
      </c>
      <c r="D104" s="1">
        <v>35.07</v>
      </c>
      <c r="E104" s="1">
        <v>32.69</v>
      </c>
      <c r="F104" s="1">
        <v>22.88</v>
      </c>
      <c r="G104" s="1">
        <v>21.04</v>
      </c>
      <c r="H104" s="1">
        <v>19.61</v>
      </c>
      <c r="I104" s="243"/>
      <c r="K104" s="206" t="s">
        <v>270</v>
      </c>
      <c r="L104" s="206" t="s">
        <v>77</v>
      </c>
      <c r="M104" s="206" t="str">
        <f t="shared" si="3"/>
        <v>Spitex WartenfelsLostorf</v>
      </c>
    </row>
    <row r="105" spans="1:13" x14ac:dyDescent="0.2">
      <c r="A105" s="3">
        <v>4522</v>
      </c>
      <c r="B105" s="3" t="s">
        <v>104</v>
      </c>
      <c r="C105" s="1">
        <v>38.130000000000003</v>
      </c>
      <c r="D105" s="1">
        <v>35.07</v>
      </c>
      <c r="E105" s="1">
        <v>32.69</v>
      </c>
      <c r="F105" s="1">
        <v>22.88</v>
      </c>
      <c r="G105" s="1">
        <v>21.04</v>
      </c>
      <c r="H105" s="1">
        <v>19.61</v>
      </c>
      <c r="I105" s="243"/>
      <c r="K105" s="206" t="s">
        <v>270</v>
      </c>
      <c r="L105" s="206" t="s">
        <v>271</v>
      </c>
      <c r="M105" s="206" t="str">
        <f t="shared" si="3"/>
        <v>Spitex WartenfelsMahren</v>
      </c>
    </row>
    <row r="106" spans="1:13" x14ac:dyDescent="0.2">
      <c r="A106" s="3">
        <v>3253</v>
      </c>
      <c r="B106" s="209" t="s">
        <v>105</v>
      </c>
      <c r="C106" s="1">
        <v>38.130000000000003</v>
      </c>
      <c r="D106" s="1">
        <v>35.07</v>
      </c>
      <c r="E106" s="1">
        <v>32.69</v>
      </c>
      <c r="F106" s="1">
        <v>22.88</v>
      </c>
      <c r="G106" s="1">
        <v>21.04</v>
      </c>
      <c r="H106" s="1">
        <v>19.61</v>
      </c>
      <c r="I106" s="243"/>
      <c r="K106" s="206" t="s">
        <v>270</v>
      </c>
      <c r="L106" s="206" t="s">
        <v>272</v>
      </c>
      <c r="M106" s="206" t="str">
        <f t="shared" si="3"/>
        <v>Spitex WartenfelsRohr b. Olten</v>
      </c>
    </row>
    <row r="107" spans="1:13" x14ac:dyDescent="0.2">
      <c r="A107" s="3">
        <v>5012</v>
      </c>
      <c r="B107" s="3" t="s">
        <v>106</v>
      </c>
      <c r="C107" s="1">
        <v>38.130000000000003</v>
      </c>
      <c r="D107" s="1">
        <v>35.07</v>
      </c>
      <c r="E107" s="1">
        <v>32.69</v>
      </c>
      <c r="F107" s="1">
        <v>22.88</v>
      </c>
      <c r="G107" s="1">
        <v>21.04</v>
      </c>
      <c r="H107" s="1">
        <v>19.61</v>
      </c>
      <c r="I107" s="243"/>
      <c r="K107" s="206" t="s">
        <v>270</v>
      </c>
      <c r="L107" s="206" t="s">
        <v>111</v>
      </c>
      <c r="M107" s="206" t="str">
        <f t="shared" si="3"/>
        <v>Spitex WartenfelsStüsslingen</v>
      </c>
    </row>
    <row r="108" spans="1:13" x14ac:dyDescent="0.2">
      <c r="A108" s="3">
        <v>4206</v>
      </c>
      <c r="B108" s="3" t="s">
        <v>107</v>
      </c>
      <c r="C108" s="1">
        <v>38.130000000000003</v>
      </c>
      <c r="D108" s="1">
        <v>35.07</v>
      </c>
      <c r="E108" s="1">
        <v>32.69</v>
      </c>
      <c r="F108" s="1">
        <v>22.88</v>
      </c>
      <c r="G108" s="1">
        <v>21.04</v>
      </c>
      <c r="H108" s="1">
        <v>19.61</v>
      </c>
      <c r="I108" s="243"/>
      <c r="K108" s="206" t="s">
        <v>273</v>
      </c>
      <c r="L108" s="206" t="s">
        <v>16</v>
      </c>
      <c r="M108" s="206" t="str">
        <f t="shared" si="3"/>
        <v>SPITEX WasseramtAeschi</v>
      </c>
    </row>
    <row r="109" spans="1:13" x14ac:dyDescent="0.2">
      <c r="A109" s="3">
        <v>2545</v>
      </c>
      <c r="B109" s="3" t="s">
        <v>108</v>
      </c>
      <c r="C109" s="1">
        <v>38.130000000000003</v>
      </c>
      <c r="D109" s="1">
        <v>35.07</v>
      </c>
      <c r="E109" s="1">
        <v>32.69</v>
      </c>
      <c r="F109" s="1">
        <v>22.88</v>
      </c>
      <c r="G109" s="1">
        <v>21.04</v>
      </c>
      <c r="H109" s="1">
        <v>19.61</v>
      </c>
      <c r="I109" s="243"/>
      <c r="K109" s="206" t="s">
        <v>273</v>
      </c>
      <c r="L109" s="206" t="s">
        <v>26</v>
      </c>
      <c r="M109" s="206" t="str">
        <f t="shared" si="3"/>
        <v>SPITEX WasseramtBolken</v>
      </c>
    </row>
    <row r="110" spans="1:13" x14ac:dyDescent="0.2">
      <c r="A110" s="4">
        <v>4500</v>
      </c>
      <c r="B110" s="209" t="s">
        <v>109</v>
      </c>
      <c r="C110" s="1">
        <v>38.130000000000003</v>
      </c>
      <c r="D110" s="1">
        <v>35.07</v>
      </c>
      <c r="E110" s="1">
        <v>32.69</v>
      </c>
      <c r="F110" s="1">
        <v>22.88</v>
      </c>
      <c r="G110" s="1">
        <v>21.04</v>
      </c>
      <c r="H110" s="1">
        <v>19.61</v>
      </c>
      <c r="I110" s="243"/>
      <c r="K110" s="206" t="s">
        <v>273</v>
      </c>
      <c r="L110" s="206" t="s">
        <v>274</v>
      </c>
      <c r="M110" s="206" t="str">
        <f t="shared" si="3"/>
        <v>SPITEX WasseramtBurgäschi</v>
      </c>
    </row>
    <row r="111" spans="1:13" x14ac:dyDescent="0.2">
      <c r="A111" s="3">
        <v>4656</v>
      </c>
      <c r="B111" s="3" t="s">
        <v>110</v>
      </c>
      <c r="C111" s="1">
        <v>38.130000000000003</v>
      </c>
      <c r="D111" s="1">
        <v>35.07</v>
      </c>
      <c r="E111" s="1">
        <v>32.69</v>
      </c>
      <c r="F111" s="1">
        <v>22.88</v>
      </c>
      <c r="G111" s="1">
        <v>21.04</v>
      </c>
      <c r="H111" s="1">
        <v>19.61</v>
      </c>
      <c r="I111" s="243"/>
      <c r="K111" s="206" t="s">
        <v>273</v>
      </c>
      <c r="L111" s="206" t="s">
        <v>42</v>
      </c>
      <c r="M111" s="206" t="str">
        <f t="shared" si="3"/>
        <v>SPITEX WasseramtEtziken</v>
      </c>
    </row>
    <row r="112" spans="1:13" x14ac:dyDescent="0.2">
      <c r="A112" s="3">
        <v>4655</v>
      </c>
      <c r="B112" s="3" t="s">
        <v>111</v>
      </c>
      <c r="C112" s="1">
        <v>38.130000000000003</v>
      </c>
      <c r="D112" s="1">
        <v>35.07</v>
      </c>
      <c r="E112" s="1">
        <v>32.69</v>
      </c>
      <c r="F112" s="1">
        <v>22.88</v>
      </c>
      <c r="G112" s="1">
        <v>21.04</v>
      </c>
      <c r="H112" s="1">
        <v>19.61</v>
      </c>
      <c r="I112" s="243"/>
      <c r="K112" s="206" t="s">
        <v>273</v>
      </c>
      <c r="L112" s="206" t="s">
        <v>49</v>
      </c>
      <c r="M112" s="206" t="str">
        <f t="shared" si="3"/>
        <v>SPITEX WasseramtGerlafingen</v>
      </c>
    </row>
    <row r="113" spans="1:13" x14ac:dyDescent="0.2">
      <c r="A113" s="3">
        <v>4553</v>
      </c>
      <c r="B113" s="3" t="s">
        <v>112</v>
      </c>
      <c r="C113" s="1">
        <v>38.130000000000003</v>
      </c>
      <c r="D113" s="1">
        <v>35.07</v>
      </c>
      <c r="E113" s="1">
        <v>32.69</v>
      </c>
      <c r="F113" s="1">
        <v>22.88</v>
      </c>
      <c r="G113" s="1">
        <v>21.04</v>
      </c>
      <c r="H113" s="1">
        <v>19.61</v>
      </c>
      <c r="I113" s="243"/>
      <c r="K113" s="206" t="s">
        <v>273</v>
      </c>
      <c r="L113" s="206" t="s">
        <v>56</v>
      </c>
      <c r="M113" s="206" t="str">
        <f t="shared" si="3"/>
        <v>SPITEX WasseramtHalten</v>
      </c>
    </row>
    <row r="114" spans="1:13" x14ac:dyDescent="0.2">
      <c r="A114" s="3">
        <v>4632</v>
      </c>
      <c r="B114" s="3" t="s">
        <v>113</v>
      </c>
      <c r="C114" s="1">
        <v>38.130000000000003</v>
      </c>
      <c r="D114" s="1">
        <v>35.07</v>
      </c>
      <c r="E114" s="1">
        <v>32.69</v>
      </c>
      <c r="F114" s="1">
        <v>22.88</v>
      </c>
      <c r="G114" s="1">
        <v>21.04</v>
      </c>
      <c r="H114" s="1">
        <v>19.61</v>
      </c>
      <c r="I114" s="243"/>
      <c r="K114" s="206" t="s">
        <v>273</v>
      </c>
      <c r="L114" s="206" t="s">
        <v>234</v>
      </c>
      <c r="M114" s="206" t="str">
        <f t="shared" si="3"/>
        <v>SPITEX WasseramtHeinrichswil</v>
      </c>
    </row>
    <row r="115" spans="1:13" x14ac:dyDescent="0.2">
      <c r="A115" s="205">
        <v>4576</v>
      </c>
      <c r="B115" s="208" t="s">
        <v>229</v>
      </c>
      <c r="C115" s="1">
        <v>38.130000000000003</v>
      </c>
      <c r="D115" s="1">
        <v>35.07</v>
      </c>
      <c r="E115" s="1">
        <v>32.69</v>
      </c>
      <c r="F115" s="1">
        <v>22.88</v>
      </c>
      <c r="G115" s="1">
        <v>21.04</v>
      </c>
      <c r="H115" s="1">
        <v>19.61</v>
      </c>
      <c r="I115" s="244" t="s">
        <v>221</v>
      </c>
      <c r="K115" s="206" t="s">
        <v>273</v>
      </c>
      <c r="L115" s="206" t="s">
        <v>232</v>
      </c>
      <c r="M115" s="206" t="str">
        <f t="shared" si="3"/>
        <v>SPITEX WasseramtHersiwil</v>
      </c>
    </row>
    <row r="116" spans="1:13" x14ac:dyDescent="0.2">
      <c r="A116" s="205">
        <v>4588</v>
      </c>
      <c r="B116" s="208" t="s">
        <v>218</v>
      </c>
      <c r="C116" s="1">
        <v>38.130000000000003</v>
      </c>
      <c r="D116" s="1">
        <v>35.07</v>
      </c>
      <c r="E116" s="1">
        <v>32.69</v>
      </c>
      <c r="F116" s="1">
        <v>22.88</v>
      </c>
      <c r="G116" s="1">
        <v>21.04</v>
      </c>
      <c r="H116" s="1">
        <v>19.61</v>
      </c>
      <c r="I116" s="243"/>
      <c r="K116" s="206" t="s">
        <v>273</v>
      </c>
      <c r="L116" s="206" t="s">
        <v>64</v>
      </c>
      <c r="M116" s="206" t="str">
        <f t="shared" si="3"/>
        <v>SPITEX WasseramtHorriwil</v>
      </c>
    </row>
    <row r="117" spans="1:13" x14ac:dyDescent="0.2">
      <c r="A117" s="3">
        <v>4587</v>
      </c>
      <c r="B117" s="3" t="s">
        <v>114</v>
      </c>
      <c r="C117" s="1">
        <v>38.130000000000003</v>
      </c>
      <c r="D117" s="1">
        <v>35.07</v>
      </c>
      <c r="E117" s="1">
        <v>32.69</v>
      </c>
      <c r="F117" s="1">
        <v>22.88</v>
      </c>
      <c r="G117" s="1">
        <v>21.04</v>
      </c>
      <c r="H117" s="1">
        <v>19.61</v>
      </c>
      <c r="I117" s="244" t="s">
        <v>221</v>
      </c>
      <c r="K117" s="206" t="s">
        <v>273</v>
      </c>
      <c r="L117" s="206" t="s">
        <v>66</v>
      </c>
      <c r="M117" s="206" t="str">
        <f t="shared" si="3"/>
        <v>SPITEX WasseramtHüniken</v>
      </c>
    </row>
    <row r="118" spans="1:13" x14ac:dyDescent="0.2">
      <c r="A118" s="3">
        <v>5746</v>
      </c>
      <c r="B118" s="3" t="s">
        <v>115</v>
      </c>
      <c r="C118" s="1">
        <v>38.130000000000003</v>
      </c>
      <c r="D118" s="1">
        <v>35.07</v>
      </c>
      <c r="E118" s="1">
        <v>32.69</v>
      </c>
      <c r="F118" s="1">
        <v>22.88</v>
      </c>
      <c r="G118" s="1">
        <v>21.04</v>
      </c>
      <c r="H118" s="1">
        <v>19.61</v>
      </c>
      <c r="I118" s="243"/>
      <c r="K118" s="206" t="s">
        <v>273</v>
      </c>
      <c r="L118" s="206" t="s">
        <v>72</v>
      </c>
      <c r="M118" s="206" t="str">
        <f t="shared" si="3"/>
        <v>SPITEX WasseramtKriegstetten</v>
      </c>
    </row>
    <row r="119" spans="1:13" x14ac:dyDescent="0.2">
      <c r="A119" s="3">
        <v>4612</v>
      </c>
      <c r="B119" s="3" t="s">
        <v>116</v>
      </c>
      <c r="C119" s="1">
        <v>38.130000000000003</v>
      </c>
      <c r="D119" s="1">
        <v>35.07</v>
      </c>
      <c r="E119" s="1">
        <v>32.69</v>
      </c>
      <c r="F119" s="1">
        <v>22.88</v>
      </c>
      <c r="G119" s="1">
        <v>21.04</v>
      </c>
      <c r="H119" s="1">
        <v>19.61</v>
      </c>
      <c r="I119" s="243"/>
      <c r="K119" s="206" t="s">
        <v>273</v>
      </c>
      <c r="L119" s="206" t="s">
        <v>94</v>
      </c>
      <c r="M119" s="206" t="str">
        <f t="shared" si="3"/>
        <v>SPITEX WasseramtObergerlafingen</v>
      </c>
    </row>
    <row r="120" spans="1:13" x14ac:dyDescent="0.2">
      <c r="A120" s="3">
        <v>4716</v>
      </c>
      <c r="B120" s="3" t="s">
        <v>117</v>
      </c>
      <c r="C120" s="1">
        <v>38.130000000000003</v>
      </c>
      <c r="D120" s="1">
        <v>35.07</v>
      </c>
      <c r="E120" s="1">
        <v>32.69</v>
      </c>
      <c r="F120" s="1">
        <v>22.88</v>
      </c>
      <c r="G120" s="1">
        <v>21.04</v>
      </c>
      <c r="H120" s="1">
        <v>19.61</v>
      </c>
      <c r="I120" s="243"/>
      <c r="K120" s="206" t="s">
        <v>273</v>
      </c>
      <c r="L120" s="206" t="s">
        <v>96</v>
      </c>
      <c r="M120" s="206" t="str">
        <f t="shared" ref="M120:M133" si="4">K120&amp;L120</f>
        <v>SPITEX WasseramtOekingen</v>
      </c>
    </row>
    <row r="121" spans="1:13" x14ac:dyDescent="0.2">
      <c r="A121" s="3">
        <v>4652</v>
      </c>
      <c r="B121" s="3" t="s">
        <v>118</v>
      </c>
      <c r="C121" s="1">
        <v>38.130000000000003</v>
      </c>
      <c r="D121" s="1">
        <v>35.07</v>
      </c>
      <c r="E121" s="1">
        <v>32.69</v>
      </c>
      <c r="F121" s="1">
        <v>22.88</v>
      </c>
      <c r="G121" s="1">
        <v>21.04</v>
      </c>
      <c r="H121" s="1">
        <v>19.61</v>
      </c>
      <c r="I121" s="243"/>
      <c r="K121" s="206" t="s">
        <v>273</v>
      </c>
      <c r="L121" s="206" t="s">
        <v>99</v>
      </c>
      <c r="M121" s="206" t="str">
        <f t="shared" si="4"/>
        <v>SPITEX WasseramtRecherswil</v>
      </c>
    </row>
    <row r="122" spans="1:13" x14ac:dyDescent="0.2">
      <c r="A122" s="3">
        <v>4634</v>
      </c>
      <c r="B122" s="3" t="s">
        <v>119</v>
      </c>
      <c r="C122" s="1">
        <v>38.130000000000003</v>
      </c>
      <c r="D122" s="1">
        <v>35.07</v>
      </c>
      <c r="E122" s="1">
        <v>32.69</v>
      </c>
      <c r="F122" s="1">
        <v>22.88</v>
      </c>
      <c r="G122" s="1">
        <v>21.04</v>
      </c>
      <c r="H122" s="1">
        <v>19.61</v>
      </c>
      <c r="I122" s="243"/>
      <c r="K122" s="206" t="s">
        <v>273</v>
      </c>
      <c r="L122" s="206" t="s">
        <v>275</v>
      </c>
      <c r="M122" s="206" t="str">
        <f t="shared" si="4"/>
        <v>SPITEX WasseramtSteinhof</v>
      </c>
    </row>
    <row r="123" spans="1:13" x14ac:dyDescent="0.2">
      <c r="A123" s="3">
        <v>4108</v>
      </c>
      <c r="B123" s="3" t="s">
        <v>120</v>
      </c>
      <c r="C123" s="1">
        <v>38.130000000000003</v>
      </c>
      <c r="D123" s="1">
        <v>35.07</v>
      </c>
      <c r="E123" s="1">
        <v>32.69</v>
      </c>
      <c r="F123" s="1">
        <v>22.88</v>
      </c>
      <c r="G123" s="1">
        <v>21.04</v>
      </c>
      <c r="H123" s="1">
        <v>19.61</v>
      </c>
      <c r="I123" s="243"/>
      <c r="K123" s="206" t="s">
        <v>273</v>
      </c>
      <c r="L123" s="206" t="s">
        <v>112</v>
      </c>
      <c r="M123" s="206" t="str">
        <f t="shared" si="4"/>
        <v>SPITEX WasseramtSubingen</v>
      </c>
    </row>
    <row r="124" spans="1:13" x14ac:dyDescent="0.2">
      <c r="A124" s="5">
        <v>4628</v>
      </c>
      <c r="B124" s="5" t="s">
        <v>121</v>
      </c>
      <c r="C124" s="1">
        <v>38.130000000000003</v>
      </c>
      <c r="D124" s="1">
        <v>35.07</v>
      </c>
      <c r="E124" s="1">
        <v>32.69</v>
      </c>
      <c r="F124" s="1">
        <v>22.88</v>
      </c>
      <c r="G124" s="1">
        <v>21.04</v>
      </c>
      <c r="H124" s="1">
        <v>19.61</v>
      </c>
      <c r="I124" s="243"/>
      <c r="K124" s="206" t="s">
        <v>276</v>
      </c>
      <c r="L124" s="206" t="s">
        <v>46</v>
      </c>
      <c r="M124" s="206" t="str">
        <f t="shared" si="4"/>
        <v>Spitex WoFuKeFulenbach</v>
      </c>
    </row>
    <row r="125" spans="1:13" x14ac:dyDescent="0.2">
      <c r="A125" s="3">
        <v>4528</v>
      </c>
      <c r="B125" s="3" t="s">
        <v>122</v>
      </c>
      <c r="C125" s="1">
        <v>38.130000000000003</v>
      </c>
      <c r="D125" s="1">
        <v>35.07</v>
      </c>
      <c r="E125" s="1">
        <v>32.69</v>
      </c>
      <c r="F125" s="1">
        <v>22.88</v>
      </c>
      <c r="G125" s="1">
        <v>21.04</v>
      </c>
      <c r="H125" s="1">
        <v>19.61</v>
      </c>
      <c r="I125" s="243"/>
      <c r="K125" s="206" t="s">
        <v>276</v>
      </c>
      <c r="L125" s="206" t="s">
        <v>69</v>
      </c>
      <c r="M125" s="206" t="str">
        <f t="shared" si="4"/>
        <v>Spitex WoFuKeKestenholz</v>
      </c>
    </row>
    <row r="126" spans="1:13" ht="13.5" thickBot="1" x14ac:dyDescent="0.25">
      <c r="A126" s="6">
        <v>4234</v>
      </c>
      <c r="B126" s="6" t="s">
        <v>123</v>
      </c>
      <c r="C126" s="1">
        <v>38.130000000000003</v>
      </c>
      <c r="D126" s="1">
        <v>35.07</v>
      </c>
      <c r="E126" s="1">
        <v>32.69</v>
      </c>
      <c r="F126" s="1">
        <v>22.88</v>
      </c>
      <c r="G126" s="1">
        <v>21.04</v>
      </c>
      <c r="H126" s="1">
        <v>19.61</v>
      </c>
      <c r="I126" s="243"/>
      <c r="K126" s="206" t="s">
        <v>276</v>
      </c>
      <c r="L126" s="206" t="s">
        <v>121</v>
      </c>
      <c r="M126" s="206" t="str">
        <f t="shared" si="4"/>
        <v>Spitex WoFuKeWolfwil</v>
      </c>
    </row>
    <row r="127" spans="1:13" x14ac:dyDescent="0.2">
      <c r="A127" s="214">
        <v>4112</v>
      </c>
      <c r="B127" s="214" t="s">
        <v>285</v>
      </c>
      <c r="C127" s="1">
        <v>38.130000000000003</v>
      </c>
      <c r="D127" s="1">
        <v>35.07</v>
      </c>
      <c r="E127" s="1">
        <v>32.69</v>
      </c>
      <c r="F127" s="1">
        <v>22.88</v>
      </c>
      <c r="G127" s="1">
        <v>21.04</v>
      </c>
      <c r="H127" s="1">
        <v>19.61</v>
      </c>
      <c r="I127" s="244" t="s">
        <v>259</v>
      </c>
      <c r="K127" s="206" t="s">
        <v>277</v>
      </c>
      <c r="L127" s="206" t="s">
        <v>22</v>
      </c>
      <c r="M127" s="206" t="str">
        <f t="shared" si="4"/>
        <v>SPITEX-Dienste BellachBellach</v>
      </c>
    </row>
    <row r="128" spans="1:13" x14ac:dyDescent="0.2">
      <c r="A128" s="214">
        <v>4114</v>
      </c>
      <c r="B128" s="214" t="s">
        <v>259</v>
      </c>
      <c r="C128" s="1">
        <v>38.130000000000003</v>
      </c>
      <c r="D128" s="1">
        <v>35.07</v>
      </c>
      <c r="E128" s="1">
        <v>32.69</v>
      </c>
      <c r="F128" s="1">
        <v>22.88</v>
      </c>
      <c r="G128" s="1">
        <v>21.04</v>
      </c>
      <c r="H128" s="1">
        <v>19.61</v>
      </c>
      <c r="I128" s="244" t="s">
        <v>259</v>
      </c>
      <c r="K128" s="206" t="s">
        <v>278</v>
      </c>
      <c r="L128" s="206" t="s">
        <v>122</v>
      </c>
      <c r="M128" s="206" t="str">
        <f t="shared" si="4"/>
        <v>Spitex-Dienste ZuchwilZuchwil</v>
      </c>
    </row>
    <row r="129" spans="1:13" x14ac:dyDescent="0.2">
      <c r="A129" s="214">
        <v>4523</v>
      </c>
      <c r="B129" s="214" t="s">
        <v>242</v>
      </c>
      <c r="C129" s="1">
        <v>38.130000000000003</v>
      </c>
      <c r="D129" s="1">
        <v>35.07</v>
      </c>
      <c r="E129" s="1">
        <v>32.69</v>
      </c>
      <c r="F129" s="1">
        <v>22.88</v>
      </c>
      <c r="G129" s="1">
        <v>21.04</v>
      </c>
      <c r="H129" s="1">
        <v>19.61</v>
      </c>
      <c r="I129" s="244" t="s">
        <v>101</v>
      </c>
      <c r="K129" s="206" t="s">
        <v>279</v>
      </c>
      <c r="L129" s="206" t="s">
        <v>23</v>
      </c>
      <c r="M129" s="206" t="str">
        <f t="shared" si="4"/>
        <v>Spitex-Verein BettlachBettlach</v>
      </c>
    </row>
    <row r="130" spans="1:13" x14ac:dyDescent="0.2">
      <c r="A130" s="214">
        <v>4719</v>
      </c>
      <c r="B130" s="214" t="s">
        <v>262</v>
      </c>
      <c r="C130" s="1">
        <v>38.130000000000003</v>
      </c>
      <c r="D130" s="1">
        <v>35.07</v>
      </c>
      <c r="E130" s="1">
        <v>32.69</v>
      </c>
      <c r="F130" s="1">
        <v>22.88</v>
      </c>
      <c r="G130" s="1">
        <v>21.04</v>
      </c>
      <c r="H130" s="1">
        <v>19.61</v>
      </c>
      <c r="I130" s="244" t="s">
        <v>286</v>
      </c>
      <c r="K130" s="206" t="s">
        <v>280</v>
      </c>
      <c r="L130" s="206" t="s">
        <v>37</v>
      </c>
      <c r="M130" s="206" t="str">
        <f t="shared" si="4"/>
        <v>Spitexverein Dulliken-Obergösgen-Starrkirch-WilDulliken</v>
      </c>
    </row>
    <row r="131" spans="1:13" x14ac:dyDescent="0.2">
      <c r="A131" s="3">
        <v>4556</v>
      </c>
      <c r="B131" s="3" t="s">
        <v>301</v>
      </c>
      <c r="C131" s="1">
        <v>38.130000000000003</v>
      </c>
      <c r="D131" s="1">
        <v>35.07</v>
      </c>
      <c r="E131" s="1">
        <v>32.69</v>
      </c>
      <c r="F131" s="1">
        <v>22.88</v>
      </c>
      <c r="G131" s="1">
        <v>21.04</v>
      </c>
      <c r="H131" s="1">
        <v>19.61</v>
      </c>
      <c r="I131" s="244" t="s">
        <v>16</v>
      </c>
      <c r="K131" s="206" t="s">
        <v>280</v>
      </c>
      <c r="L131" s="206" t="s">
        <v>95</v>
      </c>
      <c r="M131" s="206" t="str">
        <f t="shared" si="4"/>
        <v>Spitexverein Dulliken-Obergösgen-Starrkirch-WilObergösgen</v>
      </c>
    </row>
    <row r="132" spans="1:13" x14ac:dyDescent="0.2">
      <c r="A132" s="3">
        <v>3254</v>
      </c>
      <c r="B132" s="3" t="s">
        <v>238</v>
      </c>
      <c r="C132" s="1">
        <v>38.130000000000003</v>
      </c>
      <c r="D132" s="1">
        <v>35.07</v>
      </c>
      <c r="E132" s="1">
        <v>32.69</v>
      </c>
      <c r="F132" s="1">
        <v>22.88</v>
      </c>
      <c r="G132" s="1">
        <v>21.04</v>
      </c>
      <c r="H132" s="1">
        <v>19.61</v>
      </c>
      <c r="I132" s="244" t="s">
        <v>84</v>
      </c>
      <c r="K132" s="206" t="s">
        <v>280</v>
      </c>
      <c r="L132" s="206" t="s">
        <v>110</v>
      </c>
      <c r="M132" s="206" t="str">
        <f t="shared" si="4"/>
        <v>Spitexverein Dulliken-Obergösgen-Starrkirch-WilStarrkirch-Wil</v>
      </c>
    </row>
    <row r="133" spans="1:13" x14ac:dyDescent="0.2">
      <c r="A133" s="3">
        <v>3307</v>
      </c>
      <c r="B133" s="3" t="s">
        <v>302</v>
      </c>
      <c r="C133" s="1">
        <v>38.130000000000003</v>
      </c>
      <c r="D133" s="1">
        <v>35.07</v>
      </c>
      <c r="E133" s="1">
        <v>32.69</v>
      </c>
      <c r="F133" s="1">
        <v>22.88</v>
      </c>
      <c r="G133" s="1">
        <v>21.04</v>
      </c>
      <c r="H133" s="1">
        <v>19.61</v>
      </c>
      <c r="I133" s="244" t="s">
        <v>84</v>
      </c>
      <c r="K133" s="206" t="s">
        <v>281</v>
      </c>
      <c r="L133" s="206" t="s">
        <v>79</v>
      </c>
      <c r="M133" s="206" t="str">
        <f t="shared" si="4"/>
        <v>Spitex-Verein LuterbachLuterbach</v>
      </c>
    </row>
    <row r="134" spans="1:13" x14ac:dyDescent="0.2">
      <c r="A134" s="3">
        <v>4588</v>
      </c>
      <c r="B134" s="3" t="s">
        <v>243</v>
      </c>
      <c r="C134" s="1">
        <v>38.130000000000003</v>
      </c>
      <c r="D134" s="1">
        <v>35.07</v>
      </c>
      <c r="E134" s="1">
        <v>32.69</v>
      </c>
      <c r="F134" s="1">
        <v>22.88</v>
      </c>
      <c r="G134" s="1">
        <v>21.04</v>
      </c>
      <c r="H134" s="1">
        <v>19.61</v>
      </c>
      <c r="I134" s="245" t="s">
        <v>84</v>
      </c>
      <c r="K134" s="206" t="s">
        <v>257</v>
      </c>
      <c r="L134" s="206" t="s">
        <v>285</v>
      </c>
      <c r="M134" s="206" t="str">
        <f>K134&amp;L134</f>
        <v>Spitex Solothurnisches LeimentalFlüh</v>
      </c>
    </row>
  </sheetData>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2019-06-28T13:48:17Z</cp:lastPrinted>
  <dcterms:created xsi:type="dcterms:W3CDTF">2011-06-07T13:38:34Z</dcterms:created>
  <dcterms:modified xsi:type="dcterms:W3CDTF">2020-01-31T14:29:31Z</dcterms:modified>
</cp:coreProperties>
</file>