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IGHAA\AAA_Registraturplan\13 Aufsicht\13.15 Clearingstelle\02_pflegefinanzierung\pflege_ambulant\Website\2024\Final\"/>
    </mc:Choice>
  </mc:AlternateContent>
  <workbookProtection workbookPassword="FBDE" lockStructure="1"/>
  <bookViews>
    <workbookView xWindow="0" yWindow="0" windowWidth="28800" windowHeight="12300"/>
  </bookViews>
  <sheets>
    <sheet name="Patientenbeteiligung 2024" sheetId="1" r:id="rId1"/>
    <sheet name="GEKO" sheetId="3" r:id="rId2"/>
    <sheet name="Parameter" sheetId="2" state="hidden" r:id="rId3"/>
    <sheet name="internRG_Beleg" sheetId="5" r:id="rId4"/>
  </sheets>
  <definedNames>
    <definedName name="_xlnm.Print_Area" localSheetId="1">GEKO!$A$1:$X$37</definedName>
  </definedNames>
  <calcPr calcId="162913"/>
</workbook>
</file>

<file path=xl/calcChain.xml><?xml version="1.0" encoding="utf-8"?>
<calcChain xmlns="http://schemas.openxmlformats.org/spreadsheetml/2006/main">
  <c r="C16" i="5" l="1"/>
  <c r="A10" i="5"/>
  <c r="C9" i="5"/>
  <c r="C8" i="5"/>
  <c r="D12" i="5"/>
  <c r="C11" i="5"/>
  <c r="C7" i="5"/>
  <c r="G5" i="5"/>
  <c r="C55" i="1"/>
  <c r="C56" i="1"/>
  <c r="L20" i="3" s="1"/>
  <c r="K20" i="3"/>
  <c r="J20" i="3"/>
  <c r="I20" i="3"/>
  <c r="H20" i="3"/>
  <c r="D3" i="3"/>
  <c r="B16" i="3"/>
  <c r="D10" i="3"/>
  <c r="D9" i="3"/>
  <c r="B14" i="3"/>
  <c r="B13" i="3"/>
  <c r="B12" i="3"/>
  <c r="B11" i="3"/>
  <c r="B10" i="3"/>
  <c r="B9" i="3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AF12" i="2"/>
  <c r="AF10" i="2"/>
  <c r="AF7" i="2"/>
  <c r="AF5" i="2"/>
  <c r="AF3" i="2"/>
  <c r="AE3" i="2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E42" i="1"/>
  <c r="F42" i="1"/>
  <c r="F41" i="1"/>
  <c r="E41" i="1"/>
  <c r="F40" i="1"/>
  <c r="E40" i="1"/>
  <c r="F39" i="1"/>
  <c r="E39" i="1"/>
  <c r="E38" i="1"/>
  <c r="F38" i="1"/>
  <c r="E37" i="1"/>
  <c r="F37" i="1"/>
  <c r="F36" i="1"/>
  <c r="E36" i="1"/>
  <c r="F35" i="1"/>
  <c r="E35" i="1"/>
  <c r="F34" i="1"/>
  <c r="E34" i="1"/>
  <c r="F33" i="1"/>
  <c r="E33" i="1"/>
  <c r="F32" i="1"/>
  <c r="E32" i="1"/>
  <c r="E31" i="1"/>
  <c r="F31" i="1"/>
  <c r="F30" i="1"/>
  <c r="E30" i="1"/>
  <c r="F29" i="1"/>
  <c r="E29" i="1"/>
  <c r="E28" i="1"/>
  <c r="F28" i="1"/>
  <c r="E27" i="1"/>
  <c r="F27" i="1"/>
  <c r="E26" i="1"/>
  <c r="F26" i="1"/>
  <c r="E25" i="1"/>
  <c r="F25" i="1"/>
  <c r="E24" i="1"/>
  <c r="F24" i="1"/>
  <c r="F54" i="1"/>
  <c r="A20" i="3"/>
  <c r="D20" i="3"/>
  <c r="F20" i="3"/>
  <c r="E20" i="3"/>
  <c r="B20" i="3"/>
  <c r="G20" i="3"/>
  <c r="X36" i="3" l="1"/>
  <c r="C20" i="3"/>
  <c r="D55" i="1"/>
  <c r="E55" i="1" s="1"/>
  <c r="F24" i="5"/>
  <c r="G23" i="5" s="1"/>
  <c r="M20" i="3" l="1"/>
  <c r="X20" i="3" s="1"/>
  <c r="X21" i="3" s="1"/>
  <c r="F55" i="1"/>
</calcChain>
</file>

<file path=xl/sharedStrings.xml><?xml version="1.0" encoding="utf-8"?>
<sst xmlns="http://schemas.openxmlformats.org/spreadsheetml/2006/main" count="141" uniqueCount="118">
  <si>
    <t>Name und Vorname Patient/in:</t>
  </si>
  <si>
    <t>Geb.-Datum Patient/in:</t>
  </si>
  <si>
    <t>Abrechnungs-Monat:</t>
  </si>
  <si>
    <t>Kalendertag</t>
  </si>
  <si>
    <t>Pflegeleistung in Minuten</t>
  </si>
  <si>
    <t>Beitrag Patient/in
CHF</t>
  </si>
  <si>
    <t>Beitrag Kanton
CHF</t>
  </si>
  <si>
    <t>Leistungsabgeltung
CHF</t>
  </si>
  <si>
    <t xml:space="preserve">Total </t>
  </si>
  <si>
    <t>Patientenbeteiligung ambulante Pflege im Kanton Solothurn</t>
  </si>
  <si>
    <t>AHV-Nr der Patient/in:</t>
  </si>
  <si>
    <t>Firma</t>
  </si>
  <si>
    <t>ORGANISATIONS NAME</t>
  </si>
  <si>
    <t>Name</t>
  </si>
  <si>
    <t>NAME Verantwortliche Person</t>
  </si>
  <si>
    <t>Vorname</t>
  </si>
  <si>
    <t>VORNAME Verantwortliche Person</t>
  </si>
  <si>
    <t>ZSR-Nr.</t>
  </si>
  <si>
    <t>S111111</t>
  </si>
  <si>
    <t>GLN</t>
  </si>
  <si>
    <t>Strasse Nr.</t>
  </si>
  <si>
    <t>Pflegestr. 1</t>
  </si>
  <si>
    <t>PLZ</t>
  </si>
  <si>
    <t>4500</t>
  </si>
  <si>
    <t>Ort</t>
  </si>
  <si>
    <t>Solothurn</t>
  </si>
  <si>
    <t>Telefon</t>
  </si>
  <si>
    <t>032 / xxx xx xx</t>
  </si>
  <si>
    <t>E-Mail</t>
  </si>
  <si>
    <t>pflege@so.ch</t>
  </si>
  <si>
    <t>IBAN</t>
  </si>
  <si>
    <t>Aufstellung der Patientenbeteiligung (Übernahme durch Kanton gemäss Art. 144bis* Absatz 3, Sozialgesetz Kt. Solothurn)</t>
  </si>
  <si>
    <t>Monate</t>
  </si>
  <si>
    <t>Patientenbeteiligung</t>
  </si>
  <si>
    <t>Rechnungsperiode</t>
  </si>
  <si>
    <t>Stunden</t>
  </si>
  <si>
    <t>Stundensätze</t>
  </si>
  <si>
    <t>Beträge in CHF</t>
  </si>
  <si>
    <t>Leistungsart</t>
  </si>
  <si>
    <t>ZSR</t>
  </si>
  <si>
    <t>Leistungserbringer</t>
  </si>
  <si>
    <t>RG-Periode</t>
  </si>
  <si>
    <t>AHV</t>
  </si>
  <si>
    <t>PLZ_Wohnsitz</t>
  </si>
  <si>
    <t>Ort_Wohnsitz</t>
  </si>
  <si>
    <t>PLZ Pflegeort</t>
  </si>
  <si>
    <t>Ort_Pflege</t>
  </si>
  <si>
    <t xml:space="preserve"> Pflegetage</t>
  </si>
  <si>
    <t xml:space="preserve"> Patienten-Beteiligung</t>
  </si>
  <si>
    <t>KLV A Std.
Abklärung und Beratung</t>
  </si>
  <si>
    <t>KLV B Std.
Untersuchung und Behandlung</t>
  </si>
  <si>
    <t>KLV C Std.
Grundpflege</t>
  </si>
  <si>
    <t xml:space="preserve"> Total Pflegezeit</t>
  </si>
  <si>
    <t>KLV A
Abklärung und Beratung</t>
  </si>
  <si>
    <t>KLV A 
Abklärung und Beratung</t>
  </si>
  <si>
    <t>KLV C Grundpflege</t>
  </si>
  <si>
    <t>KLV B
Untersuchung und  Behandlung</t>
  </si>
  <si>
    <t>KLV C
Grundpflege</t>
  </si>
  <si>
    <t>Total</t>
  </si>
  <si>
    <t>Total Restkosten</t>
  </si>
  <si>
    <t>CHF</t>
  </si>
  <si>
    <t>Achtung !!  -  Es wurden evtl. nicht alle Gemeinden übertragen. -  Melden Sie sich bei der Clearingstelle.</t>
  </si>
  <si>
    <t xml:space="preserve">● nur die Erfassung von Kunden mit zivilrechtlichem Wohnsitz im Kanton Solothurn </t>
  </si>
  <si>
    <t>● nur die Erfassung von Pflegeleistungen nach KVG</t>
  </si>
  <si>
    <t xml:space="preserve">● nur die Erfassung von Pflegeleistungen gemäss KLV </t>
  </si>
  <si>
    <t>● die Übereinstimmung der Softwareprogrammierung / Leistungserfassung</t>
  </si>
  <si>
    <t xml:space="preserve">● die Abrechnung der Patientenbeteiligung </t>
  </si>
  <si>
    <t>Bitte fügen Sie der Email einen eingescannten Einzahlungsschein bei. Besten Dank.</t>
  </si>
  <si>
    <t xml:space="preserve">Für Auskünfte wenden Sie sich an: Gesundheitsamt, Clearingstelle Pflegekosten, </t>
  </si>
  <si>
    <t>Riedholzplatz 3, 4500 Solothurn, restkosten-ambulant@ddi.so.ch oder Telefonnummer 032 / 627 23 18 (jeweils Mo-Mi Vormittag)</t>
  </si>
  <si>
    <t>Sammelrechnung für Patientenbeteiligung bei Kindern</t>
  </si>
  <si>
    <t>K</t>
  </si>
  <si>
    <t>Leistungserbringung bei Kindern</t>
  </si>
  <si>
    <t>Leistungserbringer / Rechnungssteller</t>
  </si>
  <si>
    <t>Wohnsitz</t>
  </si>
  <si>
    <t>Pflegeort</t>
  </si>
  <si>
    <t>Muster Tina</t>
  </si>
  <si>
    <t>Testort</t>
  </si>
  <si>
    <t>Anzahl Pflegetage</t>
  </si>
  <si>
    <t>756.0000.0000.00</t>
  </si>
  <si>
    <t>7676767676767</t>
  </si>
  <si>
    <t>CH1111111111111111111</t>
  </si>
  <si>
    <t>Kostenart</t>
  </si>
  <si>
    <t>Kontrolle:</t>
  </si>
  <si>
    <t>sachliches und rechnerisches Visum</t>
  </si>
  <si>
    <t>Leistungsempfänger</t>
  </si>
  <si>
    <t>Bitte mit blauer Schrift visieren</t>
  </si>
  <si>
    <t>Visum gem. Kompetenz-</t>
  </si>
  <si>
    <t>regelung Departement</t>
  </si>
  <si>
    <t>Visum Buchungsstelle</t>
  </si>
  <si>
    <t>Datum:</t>
  </si>
  <si>
    <t>Visum:</t>
  </si>
  <si>
    <t xml:space="preserve"> wird durch Kanton ausgefüllt</t>
  </si>
  <si>
    <t xml:space="preserve"> </t>
  </si>
  <si>
    <t>Kreditorenbeleg SAP</t>
  </si>
  <si>
    <t>Beleg Nr. (Barcode)</t>
  </si>
  <si>
    <t>Departement, Dienststelle</t>
  </si>
  <si>
    <t>Buchungskreis</t>
  </si>
  <si>
    <t>Rechnungsdatum</t>
  </si>
  <si>
    <t>DDI, Gesundheitsamt, Clearingstelle ambulante Pflegeleistungen</t>
  </si>
  <si>
    <t>025</t>
  </si>
  <si>
    <t>Kreditorennummer</t>
  </si>
  <si>
    <t xml:space="preserve">Empfänger, Adresse </t>
  </si>
  <si>
    <t>IBAN-Nummer oder QR-IBAN ohne Referenz oder QR-IBAN mit SCOR-Ref.</t>
  </si>
  <si>
    <t>Formular</t>
  </si>
  <si>
    <t>Bankname, Ort</t>
  </si>
  <si>
    <t>Grund der Zahlung (Zahlungsvermerk)</t>
  </si>
  <si>
    <t>ESR-Teilnehmer-Nr. oder QR-IBAN mit Referenz (Einzahlungsschein/QR-Zahlteil dazu legen)</t>
  </si>
  <si>
    <t>Zahlungskonditionen</t>
  </si>
  <si>
    <t xml:space="preserve">Zahlungsdatum  </t>
  </si>
  <si>
    <t>sofort</t>
  </si>
  <si>
    <t>Typ K oder A</t>
  </si>
  <si>
    <t>Kostenstelle / Auftrag</t>
  </si>
  <si>
    <t>Total Betrag</t>
  </si>
  <si>
    <t>Unter  www.sic.ch  können die IBAN-Nr. generiert werden</t>
  </si>
  <si>
    <r>
      <t xml:space="preserve">Mit der Rechnungsstellung per Email an die die Adresse </t>
    </r>
    <r>
      <rPr>
        <b/>
        <u/>
        <sz val="11"/>
        <rFont val="Arial"/>
        <family val="2"/>
      </rPr>
      <t>restkosten-ambulant@ddi.so.ch</t>
    </r>
    <r>
      <rPr>
        <b/>
        <sz val="11"/>
        <rFont val="Arial"/>
        <family val="2"/>
      </rPr>
      <t xml:space="preserve"> bestätigen Sie die Richtigkeit
der Abrechnung, insbesondere </t>
    </r>
  </si>
  <si>
    <r>
      <t xml:space="preserve">Bitte senden Sie diese Abrechnungsdatei (Excel) per Email an </t>
    </r>
    <r>
      <rPr>
        <b/>
        <u/>
        <sz val="11"/>
        <rFont val="Arial"/>
        <family val="2"/>
      </rPr>
      <t xml:space="preserve">restkosten-ambulant@ddi.so.ch </t>
    </r>
  </si>
  <si>
    <t>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</si>
</sst>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mmmm\ yyyy"/>
    <numFmt numFmtId="165" formatCode="#,##0.0"/>
    <numFmt numFmtId="166" formatCode="dd/mm/yy"/>
    <numFmt numFmtId="167" formatCode="&quot; SFr. &quot;#,##0.00\ ;&quot; SFr. -&quot;#,##0.00\ ;&quot; SFr. -&quot;#\ ;@\ "/>
    <numFmt numFmtId="168" formatCode="&quot; CHF &quot;#,##0.00\ ;&quot; SFr. -&quot;#,##0.00\ ;&quot; CHF -&quot;#\ ;@\ "/>
  </numFmts>
  <fonts count="32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b/>
      <sz val="9"/>
      <name val="Frutiger 55 Roman"/>
      <family val="2"/>
    </font>
    <font>
      <b/>
      <sz val="10"/>
      <name val="Frutiger 55 Roman"/>
      <family val="2"/>
    </font>
    <font>
      <sz val="10"/>
      <name val="Frutiger 55 Roman"/>
      <family val="2"/>
    </font>
    <font>
      <sz val="6"/>
      <name val="Frutiger 55 Roman"/>
      <family val="2"/>
    </font>
    <font>
      <sz val="8"/>
      <name val="Frutiger 55 Roman"/>
    </font>
    <font>
      <b/>
      <sz val="20"/>
      <name val="Frutiger 55 Roman"/>
      <family val="2"/>
    </font>
    <font>
      <sz val="9"/>
      <name val="Arial"/>
      <family val="2"/>
    </font>
    <font>
      <b/>
      <sz val="10"/>
      <color indexed="12"/>
      <name val="Frutiger LT Com 55 Roman"/>
      <family val="2"/>
    </font>
    <font>
      <sz val="10"/>
      <name val="Frutiger LT Com 55 Roman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</borders>
  <cellStyleXfs count="6">
    <xf numFmtId="0" fontId="0" fillId="0" borderId="0"/>
    <xf numFmtId="43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3" fillId="0" borderId="0"/>
    <xf numFmtId="167" fontId="3" fillId="0" borderId="0" applyFill="0" applyBorder="0" applyAlignment="0" applyProtection="0"/>
  </cellStyleXfs>
  <cellXfs count="176">
    <xf numFmtId="0" fontId="0" fillId="0" borderId="0" xfId="0"/>
    <xf numFmtId="0" fontId="2" fillId="0" borderId="0" xfId="0" applyFont="1" applyAlignment="1" applyProtection="1">
      <alignment horizontal="left" wrapText="1"/>
    </xf>
    <xf numFmtId="0" fontId="0" fillId="0" borderId="0" xfId="0" applyProtection="1"/>
    <xf numFmtId="0" fontId="3" fillId="0" borderId="0" xfId="0" applyFont="1" applyProtection="1"/>
    <xf numFmtId="0" fontId="0" fillId="0" borderId="0" xfId="0" applyAlignment="1" applyProtection="1">
      <alignment vertical="top"/>
    </xf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top"/>
    </xf>
    <xf numFmtId="14" fontId="3" fillId="0" borderId="0" xfId="0" applyNumberFormat="1" applyFont="1" applyProtection="1"/>
    <xf numFmtId="0" fontId="4" fillId="0" borderId="0" xfId="0" applyFont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center" vertical="center" wrapText="1"/>
    </xf>
    <xf numFmtId="14" fontId="0" fillId="0" borderId="1" xfId="0" applyNumberFormat="1" applyFill="1" applyBorder="1" applyAlignment="1" applyProtection="1">
      <alignment horizontal="center" vertical="center"/>
    </xf>
    <xf numFmtId="4" fontId="3" fillId="0" borderId="1" xfId="0" applyNumberFormat="1" applyFont="1" applyFill="1" applyBorder="1" applyAlignment="1" applyProtection="1">
      <alignment horizontal="center" vertical="center"/>
    </xf>
    <xf numFmtId="4" fontId="20" fillId="0" borderId="2" xfId="0" applyNumberFormat="1" applyFont="1" applyFill="1" applyBorder="1" applyAlignment="1" applyProtection="1">
      <alignment horizontal="center" vertical="center"/>
    </xf>
    <xf numFmtId="4" fontId="20" fillId="0" borderId="0" xfId="0" applyNumberFormat="1" applyFont="1" applyFill="1" applyBorder="1" applyAlignment="1" applyProtection="1">
      <alignment horizontal="center" vertical="center"/>
    </xf>
    <xf numFmtId="4" fontId="20" fillId="0" borderId="0" xfId="0" applyNumberFormat="1" applyFont="1" applyBorder="1" applyAlignment="1" applyProtection="1">
      <alignment horizontal="center" vertical="center"/>
    </xf>
    <xf numFmtId="165" fontId="4" fillId="0" borderId="1" xfId="0" applyNumberFormat="1" applyFont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/>
    </xf>
    <xf numFmtId="4" fontId="4" fillId="0" borderId="1" xfId="0" applyNumberFormat="1" applyFont="1" applyBorder="1" applyAlignment="1" applyProtection="1">
      <alignment horizontal="center"/>
    </xf>
    <xf numFmtId="4" fontId="21" fillId="0" borderId="2" xfId="0" applyNumberFormat="1" applyFont="1" applyBorder="1" applyAlignment="1" applyProtection="1">
      <alignment horizontal="center"/>
    </xf>
    <xf numFmtId="4" fontId="21" fillId="0" borderId="0" xfId="0" applyNumberFormat="1" applyFont="1" applyBorder="1" applyAlignment="1" applyProtection="1">
      <alignment horizontal="center"/>
    </xf>
    <xf numFmtId="0" fontId="4" fillId="0" borderId="0" xfId="0" applyFont="1" applyBorder="1" applyProtection="1"/>
    <xf numFmtId="164" fontId="0" fillId="0" borderId="0" xfId="0" applyNumberFormat="1"/>
    <xf numFmtId="14" fontId="0" fillId="0" borderId="0" xfId="0" applyNumberFormat="1"/>
    <xf numFmtId="0" fontId="22" fillId="0" borderId="0" xfId="0" applyFont="1" applyProtection="1"/>
    <xf numFmtId="49" fontId="22" fillId="3" borderId="0" xfId="0" applyNumberFormat="1" applyFont="1" applyFill="1" applyAlignment="1" applyProtection="1">
      <protection locked="0"/>
    </xf>
    <xf numFmtId="49" fontId="19" fillId="3" borderId="0" xfId="2" applyNumberFormat="1" applyFill="1" applyAlignment="1" applyProtection="1">
      <protection locked="0"/>
    </xf>
    <xf numFmtId="164" fontId="4" fillId="3" borderId="1" xfId="0" applyNumberFormat="1" applyFont="1" applyFill="1" applyBorder="1" applyAlignment="1" applyProtection="1">
      <alignment vertical="center"/>
      <protection locked="0"/>
    </xf>
    <xf numFmtId="3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</xf>
    <xf numFmtId="0" fontId="23" fillId="0" borderId="0" xfId="0" applyFont="1" applyProtection="1"/>
    <xf numFmtId="0" fontId="23" fillId="0" borderId="0" xfId="0" applyNumberFormat="1" applyFont="1" applyProtection="1"/>
    <xf numFmtId="0" fontId="24" fillId="0" borderId="0" xfId="0" applyFont="1" applyProtection="1"/>
    <xf numFmtId="0" fontId="25" fillId="0" borderId="0" xfId="0" applyFont="1" applyProtection="1"/>
    <xf numFmtId="0" fontId="24" fillId="0" borderId="0" xfId="0" applyNumberFormat="1" applyFont="1" applyProtection="1"/>
    <xf numFmtId="0" fontId="26" fillId="0" borderId="0" xfId="0" applyFont="1" applyFill="1" applyAlignment="1" applyProtection="1">
      <alignment horizontal="left" vertical="center"/>
    </xf>
    <xf numFmtId="0" fontId="26" fillId="0" borderId="0" xfId="0" applyNumberFormat="1" applyFont="1" applyFill="1" applyAlignment="1" applyProtection="1">
      <alignment horizontal="left" vertical="center"/>
    </xf>
    <xf numFmtId="0" fontId="23" fillId="0" borderId="0" xfId="0" applyFont="1" applyFill="1" applyProtection="1"/>
    <xf numFmtId="0" fontId="24" fillId="0" borderId="0" xfId="0" applyFont="1" applyFill="1" applyProtection="1"/>
    <xf numFmtId="0" fontId="0" fillId="0" borderId="0" xfId="0" applyFont="1" applyProtection="1"/>
    <xf numFmtId="0" fontId="26" fillId="0" borderId="0" xfId="0" applyFont="1" applyAlignment="1" applyProtection="1">
      <alignment horizontal="left" vertical="center" wrapText="1"/>
    </xf>
    <xf numFmtId="0" fontId="26" fillId="0" borderId="0" xfId="0" applyNumberFormat="1" applyFont="1" applyAlignment="1" applyProtection="1">
      <alignment horizontal="left" vertical="center" wrapText="1"/>
    </xf>
    <xf numFmtId="0" fontId="26" fillId="0" borderId="0" xfId="0" applyFont="1" applyFill="1" applyAlignment="1" applyProtection="1">
      <alignment vertical="center"/>
    </xf>
    <xf numFmtId="0" fontId="24" fillId="3" borderId="1" xfId="0" applyFont="1" applyFill="1" applyBorder="1" applyAlignment="1" applyProtection="1">
      <alignment horizontal="center" textRotation="90" wrapText="1"/>
    </xf>
    <xf numFmtId="0" fontId="24" fillId="3" borderId="1" xfId="0" applyNumberFormat="1" applyFont="1" applyFill="1" applyBorder="1" applyAlignment="1" applyProtection="1">
      <alignment horizontal="center" textRotation="90" wrapText="1"/>
    </xf>
    <xf numFmtId="0" fontId="27" fillId="3" borderId="1" xfId="4" applyFont="1" applyFill="1" applyBorder="1" applyAlignment="1" applyProtection="1">
      <alignment horizontal="center" textRotation="90"/>
    </xf>
    <xf numFmtId="0" fontId="27" fillId="3" borderId="1" xfId="4" applyFont="1" applyFill="1" applyBorder="1" applyAlignment="1" applyProtection="1">
      <alignment horizontal="center" textRotation="90" wrapText="1"/>
    </xf>
    <xf numFmtId="0" fontId="28" fillId="3" borderId="1" xfId="4" applyFont="1" applyFill="1" applyBorder="1" applyAlignment="1" applyProtection="1">
      <alignment horizontal="center" textRotation="90" wrapText="1"/>
    </xf>
    <xf numFmtId="0" fontId="24" fillId="0" borderId="1" xfId="0" quotePrefix="1" applyFont="1" applyBorder="1" applyProtection="1"/>
    <xf numFmtId="43" fontId="24" fillId="0" borderId="1" xfId="1" applyFont="1" applyBorder="1" applyProtection="1"/>
    <xf numFmtId="43" fontId="24" fillId="0" borderId="3" xfId="1" applyFont="1" applyBorder="1" applyProtection="1"/>
    <xf numFmtId="0" fontId="5" fillId="0" borderId="0" xfId="4" applyFont="1" applyProtection="1"/>
    <xf numFmtId="0" fontId="5" fillId="0" borderId="0" xfId="4" applyFont="1" applyAlignment="1" applyProtection="1"/>
    <xf numFmtId="0" fontId="29" fillId="0" borderId="0" xfId="0" applyFont="1" applyProtection="1"/>
    <xf numFmtId="0" fontId="5" fillId="0" borderId="0" xfId="4" applyNumberFormat="1" applyFont="1" applyAlignment="1" applyProtection="1"/>
    <xf numFmtId="0" fontId="3" fillId="0" borderId="0" xfId="0" applyFont="1" applyBorder="1" applyAlignment="1" applyProtection="1">
      <alignment horizontal="left" vertical="top" wrapText="1"/>
    </xf>
    <xf numFmtId="3" fontId="24" fillId="0" borderId="1" xfId="0" quotePrefix="1" applyNumberFormat="1" applyFont="1" applyBorder="1" applyProtection="1"/>
    <xf numFmtId="4" fontId="24" fillId="0" borderId="1" xfId="0" quotePrefix="1" applyNumberFormat="1" applyFont="1" applyBorder="1" applyProtection="1"/>
    <xf numFmtId="0" fontId="6" fillId="2" borderId="6" xfId="4" applyFont="1" applyFill="1" applyBorder="1" applyAlignment="1" applyProtection="1">
      <alignment horizontal="left" vertical="center"/>
    </xf>
    <xf numFmtId="15" fontId="8" fillId="2" borderId="7" xfId="4" applyNumberFormat="1" applyFont="1" applyFill="1" applyBorder="1" applyAlignment="1" applyProtection="1">
      <alignment horizontal="left" vertical="center"/>
    </xf>
    <xf numFmtId="0" fontId="6" fillId="2" borderId="8" xfId="4" applyFont="1" applyFill="1" applyBorder="1" applyAlignment="1" applyProtection="1">
      <alignment vertical="center"/>
    </xf>
    <xf numFmtId="0" fontId="6" fillId="2" borderId="9" xfId="4" applyFont="1" applyFill="1" applyBorder="1" applyAlignment="1" applyProtection="1">
      <alignment horizontal="center" vertical="center"/>
    </xf>
    <xf numFmtId="0" fontId="9" fillId="2" borderId="10" xfId="4" applyFont="1" applyFill="1" applyBorder="1" applyAlignment="1" applyProtection="1">
      <alignment vertical="center"/>
    </xf>
    <xf numFmtId="0" fontId="6" fillId="2" borderId="11" xfId="4" applyFont="1" applyFill="1" applyBorder="1" applyAlignment="1" applyProtection="1">
      <alignment horizontal="center" vertical="center"/>
    </xf>
    <xf numFmtId="0" fontId="6" fillId="2" borderId="8" xfId="4" applyFont="1" applyFill="1" applyBorder="1" applyAlignment="1" applyProtection="1">
      <alignment horizontal="left" vertical="center"/>
    </xf>
    <xf numFmtId="0" fontId="9" fillId="2" borderId="10" xfId="4" applyFont="1" applyFill="1" applyBorder="1" applyAlignment="1" applyProtection="1">
      <alignment horizontal="left"/>
    </xf>
    <xf numFmtId="0" fontId="8" fillId="2" borderId="11" xfId="4" applyFont="1" applyFill="1" applyBorder="1" applyProtection="1"/>
    <xf numFmtId="0" fontId="9" fillId="2" borderId="8" xfId="4" applyFont="1" applyFill="1" applyBorder="1" applyAlignment="1" applyProtection="1">
      <alignment horizontal="left"/>
    </xf>
    <xf numFmtId="0" fontId="6" fillId="2" borderId="12" xfId="4" applyFont="1" applyFill="1" applyBorder="1" applyAlignment="1" applyProtection="1">
      <alignment vertical="center"/>
    </xf>
    <xf numFmtId="0" fontId="3" fillId="0" borderId="0" xfId="4"/>
    <xf numFmtId="0" fontId="6" fillId="2" borderId="13" xfId="4" applyFont="1" applyFill="1" applyBorder="1" applyAlignment="1" applyProtection="1">
      <alignment horizontal="left" vertical="center"/>
    </xf>
    <xf numFmtId="49" fontId="7" fillId="0" borderId="13" xfId="4" applyNumberFormat="1" applyFont="1" applyBorder="1" applyAlignment="1" applyProtection="1">
      <alignment horizontal="center" vertical="center"/>
    </xf>
    <xf numFmtId="14" fontId="7" fillId="0" borderId="14" xfId="4" applyNumberFormat="1" applyFont="1" applyBorder="1" applyAlignment="1" applyProtection="1">
      <alignment horizontal="center" vertical="center"/>
    </xf>
    <xf numFmtId="0" fontId="7" fillId="0" borderId="0" xfId="4" applyNumberFormat="1" applyFont="1" applyBorder="1" applyAlignment="1" applyProtection="1">
      <alignment horizontal="left"/>
    </xf>
    <xf numFmtId="0" fontId="7" fillId="0" borderId="9" xfId="4" applyNumberFormat="1" applyFont="1" applyBorder="1" applyAlignment="1" applyProtection="1">
      <alignment horizontal="left"/>
    </xf>
    <xf numFmtId="0" fontId="6" fillId="2" borderId="15" xfId="4" applyFont="1" applyFill="1" applyBorder="1" applyAlignment="1" applyProtection="1">
      <alignment horizontal="left" vertical="center"/>
    </xf>
    <xf numFmtId="0" fontId="6" fillId="2" borderId="16" xfId="4" applyFont="1" applyFill="1" applyBorder="1" applyAlignment="1" applyProtection="1">
      <alignment horizontal="left"/>
    </xf>
    <xf numFmtId="0" fontId="6" fillId="2" borderId="17" xfId="4" applyFont="1" applyFill="1" applyBorder="1" applyAlignment="1" applyProtection="1">
      <alignment horizontal="left"/>
    </xf>
    <xf numFmtId="0" fontId="6" fillId="2" borderId="15" xfId="4" applyFont="1" applyFill="1" applyBorder="1" applyAlignment="1" applyProtection="1">
      <alignment vertical="center"/>
    </xf>
    <xf numFmtId="0" fontId="3" fillId="2" borderId="17" xfId="4" applyFill="1" applyBorder="1" applyAlignment="1" applyProtection="1">
      <alignment vertical="center"/>
    </xf>
    <xf numFmtId="168" fontId="7" fillId="2" borderId="17" xfId="5" applyNumberFormat="1" applyFont="1" applyFill="1" applyBorder="1" applyAlignment="1" applyProtection="1">
      <alignment horizontal="left" vertical="center"/>
    </xf>
    <xf numFmtId="0" fontId="7" fillId="0" borderId="18" xfId="4" applyFont="1" applyBorder="1" applyAlignment="1" applyProtection="1">
      <alignment horizontal="center" vertical="center"/>
    </xf>
    <xf numFmtId="0" fontId="12" fillId="0" borderId="0" xfId="4" applyFont="1"/>
    <xf numFmtId="0" fontId="13" fillId="0" borderId="0" xfId="4" applyFont="1"/>
    <xf numFmtId="0" fontId="14" fillId="0" borderId="0" xfId="4" applyFont="1"/>
    <xf numFmtId="0" fontId="0" fillId="0" borderId="0" xfId="0" applyFont="1" applyProtection="1"/>
    <xf numFmtId="0" fontId="15" fillId="0" borderId="0" xfId="3" applyFont="1" applyFill="1" applyAlignment="1" applyProtection="1"/>
    <xf numFmtId="0" fontId="15" fillId="0" borderId="0" xfId="3" applyNumberFormat="1" applyFont="1" applyFill="1" applyAlignment="1" applyProtection="1"/>
    <xf numFmtId="0" fontId="0" fillId="0" borderId="0" xfId="0" applyNumberFormat="1" applyFont="1" applyProtection="1"/>
    <xf numFmtId="0" fontId="17" fillId="0" borderId="0" xfId="4" applyFont="1" applyAlignment="1" applyProtection="1"/>
    <xf numFmtId="0" fontId="17" fillId="0" borderId="0" xfId="4" applyNumberFormat="1" applyFont="1" applyAlignment="1" applyProtection="1"/>
    <xf numFmtId="0" fontId="17" fillId="0" borderId="0" xfId="3" applyFont="1" applyBorder="1" applyAlignment="1" applyProtection="1">
      <alignment horizontal="left"/>
    </xf>
    <xf numFmtId="0" fontId="17" fillId="0" borderId="0" xfId="3" applyNumberFormat="1" applyFont="1" applyBorder="1" applyAlignment="1" applyProtection="1">
      <alignment horizontal="left"/>
    </xf>
    <xf numFmtId="0" fontId="17" fillId="0" borderId="0" xfId="3" applyFont="1" applyBorder="1" applyAlignment="1" applyProtection="1">
      <alignment wrapText="1"/>
    </xf>
    <xf numFmtId="0" fontId="17" fillId="0" borderId="0" xfId="3" applyFont="1" applyBorder="1" applyAlignment="1" applyProtection="1">
      <alignment vertical="center" wrapText="1"/>
    </xf>
    <xf numFmtId="0" fontId="17" fillId="0" borderId="0" xfId="3" applyFont="1" applyBorder="1" applyAlignment="1" applyProtection="1">
      <alignment vertical="center"/>
    </xf>
    <xf numFmtId="0" fontId="17" fillId="0" borderId="0" xfId="4" applyFont="1" applyProtection="1"/>
    <xf numFmtId="0" fontId="17" fillId="0" borderId="0" xfId="3" applyFont="1" applyBorder="1" applyAlignment="1" applyProtection="1">
      <alignment horizontal="right" indent="1"/>
    </xf>
    <xf numFmtId="0" fontId="30" fillId="3" borderId="19" xfId="0" applyFont="1" applyFill="1" applyBorder="1" applyAlignment="1" applyProtection="1">
      <alignment vertical="center"/>
    </xf>
    <xf numFmtId="0" fontId="30" fillId="3" borderId="20" xfId="0" applyFont="1" applyFill="1" applyBorder="1" applyAlignment="1" applyProtection="1">
      <alignment vertical="center"/>
    </xf>
    <xf numFmtId="0" fontId="30" fillId="3" borderId="20" xfId="0" applyNumberFormat="1" applyFont="1" applyFill="1" applyBorder="1" applyAlignment="1" applyProtection="1">
      <alignment vertical="center"/>
    </xf>
    <xf numFmtId="0" fontId="0" fillId="3" borderId="20" xfId="0" applyFont="1" applyFill="1" applyBorder="1" applyAlignment="1" applyProtection="1">
      <alignment vertical="center"/>
    </xf>
    <xf numFmtId="0" fontId="30" fillId="3" borderId="20" xfId="0" applyFont="1" applyFill="1" applyBorder="1" applyAlignment="1" applyProtection="1">
      <alignment horizontal="right" vertical="center"/>
    </xf>
    <xf numFmtId="2" fontId="30" fillId="3" borderId="21" xfId="0" applyNumberFormat="1" applyFont="1" applyFill="1" applyBorder="1" applyAlignment="1" applyProtection="1">
      <alignment vertical="center"/>
    </xf>
    <xf numFmtId="0" fontId="30" fillId="0" borderId="0" xfId="0" applyFont="1" applyProtection="1"/>
    <xf numFmtId="0" fontId="30" fillId="0" borderId="0" xfId="0" applyNumberFormat="1" applyFont="1" applyProtection="1"/>
    <xf numFmtId="0" fontId="0" fillId="0" borderId="0" xfId="0" applyFont="1" applyAlignment="1" applyProtection="1">
      <alignment horizontal="center"/>
    </xf>
    <xf numFmtId="49" fontId="30" fillId="3" borderId="0" xfId="0" applyNumberFormat="1" applyFont="1" applyFill="1" applyAlignment="1" applyProtection="1">
      <alignment horizontal="left" indent="1"/>
    </xf>
    <xf numFmtId="49" fontId="0" fillId="0" borderId="0" xfId="0" applyNumberFormat="1" applyFont="1" applyFill="1" applyAlignment="1" applyProtection="1">
      <alignment horizontal="left" indent="1"/>
    </xf>
    <xf numFmtId="0" fontId="0" fillId="0" borderId="0" xfId="0" applyNumberFormat="1" applyFont="1" applyProtection="1"/>
    <xf numFmtId="0" fontId="0" fillId="0" borderId="0" xfId="0" applyFont="1" applyFill="1" applyProtection="1"/>
    <xf numFmtId="49" fontId="30" fillId="0" borderId="0" xfId="0" applyNumberFormat="1" applyFont="1" applyFill="1" applyAlignment="1" applyProtection="1">
      <alignment horizontal="left"/>
    </xf>
    <xf numFmtId="49" fontId="0" fillId="0" borderId="0" xfId="0" applyNumberFormat="1" applyFont="1" applyFill="1" applyAlignment="1" applyProtection="1">
      <alignment horizontal="left"/>
    </xf>
    <xf numFmtId="0" fontId="0" fillId="0" borderId="0" xfId="0" applyFont="1" applyAlignment="1" applyProtection="1">
      <alignment vertical="center" wrapText="1"/>
    </xf>
    <xf numFmtId="14" fontId="30" fillId="3" borderId="0" xfId="0" applyNumberFormat="1" applyFont="1" applyFill="1" applyAlignment="1" applyProtection="1">
      <alignment horizontal="left" vertical="center" indent="1"/>
    </xf>
    <xf numFmtId="0" fontId="0" fillId="0" borderId="0" xfId="0" applyNumberFormat="1" applyFont="1" applyFill="1" applyAlignment="1" applyProtection="1">
      <alignment horizontal="left" vertical="center" indent="1"/>
    </xf>
    <xf numFmtId="0" fontId="0" fillId="0" borderId="0" xfId="0" applyNumberFormat="1" applyFont="1" applyAlignment="1" applyProtection="1">
      <alignment vertical="center" wrapText="1"/>
    </xf>
    <xf numFmtId="0" fontId="1" fillId="0" borderId="0" xfId="0" applyFont="1" applyAlignment="1" applyProtection="1">
      <alignment horizontal="right" wrapText="1"/>
    </xf>
    <xf numFmtId="14" fontId="4" fillId="3" borderId="1" xfId="0" applyNumberFormat="1" applyFont="1" applyFill="1" applyBorder="1" applyAlignment="1" applyProtection="1">
      <alignment vertical="center"/>
      <protection locked="0"/>
    </xf>
    <xf numFmtId="14" fontId="24" fillId="0" borderId="1" xfId="0" quotePrefix="1" applyNumberFormat="1" applyFont="1" applyBorder="1" applyProtection="1"/>
    <xf numFmtId="0" fontId="3" fillId="0" borderId="0" xfId="0" applyFont="1" applyAlignment="1" applyProtection="1">
      <alignment horizontal="left" vertical="top" wrapText="1"/>
    </xf>
    <xf numFmtId="49" fontId="4" fillId="3" borderId="4" xfId="0" applyNumberFormat="1" applyFont="1" applyFill="1" applyBorder="1" applyAlignment="1" applyProtection="1">
      <alignment horizontal="left" vertical="center"/>
      <protection locked="0"/>
    </xf>
    <xf numFmtId="49" fontId="4" fillId="3" borderId="5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top" wrapText="1"/>
    </xf>
    <xf numFmtId="0" fontId="3" fillId="0" borderId="22" xfId="0" applyFont="1" applyBorder="1" applyAlignment="1" applyProtection="1">
      <alignment horizontal="left" vertical="top" wrapText="1"/>
    </xf>
    <xf numFmtId="0" fontId="1" fillId="0" borderId="0" xfId="0" applyFont="1" applyAlignment="1" applyProtection="1">
      <alignment horizontal="center" wrapText="1"/>
    </xf>
    <xf numFmtId="49" fontId="4" fillId="3" borderId="4" xfId="0" applyNumberFormat="1" applyFont="1" applyFill="1" applyBorder="1" applyAlignment="1" applyProtection="1">
      <alignment horizontal="left" vertical="center"/>
      <protection locked="0"/>
    </xf>
    <xf numFmtId="49" fontId="4" fillId="3" borderId="5" xfId="0" applyNumberFormat="1" applyFont="1" applyFill="1" applyBorder="1" applyAlignment="1" applyProtection="1">
      <alignment horizontal="left" vertical="center"/>
      <protection locked="0"/>
    </xf>
    <xf numFmtId="0" fontId="17" fillId="3" borderId="0" xfId="3" applyFont="1" applyFill="1" applyBorder="1" applyAlignment="1" applyProtection="1">
      <alignment horizontal="left" vertical="center" wrapText="1"/>
    </xf>
    <xf numFmtId="0" fontId="30" fillId="0" borderId="0" xfId="0" applyNumberFormat="1" applyFont="1" applyFill="1" applyAlignment="1" applyProtection="1">
      <alignment horizontal="left"/>
    </xf>
    <xf numFmtId="0" fontId="0" fillId="0" borderId="0" xfId="0" applyNumberFormat="1" applyFont="1" applyFill="1" applyAlignment="1"/>
    <xf numFmtId="0" fontId="0" fillId="3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7" fillId="3" borderId="1" xfId="4" applyFont="1" applyFill="1" applyBorder="1" applyAlignment="1" applyProtection="1">
      <alignment horizontal="center" vertical="center"/>
    </xf>
    <xf numFmtId="0" fontId="31" fillId="0" borderId="23" xfId="0" applyFont="1" applyBorder="1" applyAlignment="1" applyProtection="1">
      <alignment horizontal="center" vertical="center"/>
    </xf>
    <xf numFmtId="0" fontId="15" fillId="0" borderId="0" xfId="3" applyFont="1" applyFill="1" applyAlignment="1" applyProtection="1">
      <alignment horizontal="left" wrapText="1"/>
    </xf>
    <xf numFmtId="0" fontId="17" fillId="0" borderId="0" xfId="3" applyFont="1" applyFill="1" applyAlignment="1" applyProtection="1">
      <alignment horizontal="left" wrapText="1" indent="1"/>
    </xf>
    <xf numFmtId="0" fontId="26" fillId="4" borderId="0" xfId="0" applyFont="1" applyFill="1" applyAlignment="1" applyProtection="1">
      <alignment horizontal="left" vertical="center" wrapText="1"/>
    </xf>
    <xf numFmtId="49" fontId="30" fillId="3" borderId="0" xfId="0" applyNumberFormat="1" applyFont="1" applyFill="1" applyAlignment="1" applyProtection="1">
      <alignment horizontal="left"/>
    </xf>
    <xf numFmtId="0" fontId="0" fillId="0" borderId="0" xfId="0" applyNumberFormat="1" applyFont="1" applyAlignment="1"/>
    <xf numFmtId="0" fontId="30" fillId="0" borderId="0" xfId="0" applyNumberFormat="1" applyFont="1" applyAlignment="1" applyProtection="1"/>
    <xf numFmtId="166" fontId="7" fillId="0" borderId="12" xfId="4" applyNumberFormat="1" applyFont="1" applyBorder="1" applyAlignment="1" applyProtection="1">
      <alignment horizontal="left" vertical="center"/>
    </xf>
    <xf numFmtId="0" fontId="7" fillId="0" borderId="12" xfId="4" applyFont="1" applyBorder="1" applyAlignment="1" applyProtection="1">
      <alignment horizontal="left" vertical="center"/>
    </xf>
    <xf numFmtId="0" fontId="3" fillId="2" borderId="13" xfId="4" applyFill="1" applyBorder="1" applyAlignment="1" applyProtection="1">
      <alignment horizontal="center"/>
    </xf>
    <xf numFmtId="0" fontId="6" fillId="2" borderId="12" xfId="4" applyFont="1" applyFill="1" applyBorder="1" applyAlignment="1" applyProtection="1">
      <alignment horizontal="left" vertical="center"/>
    </xf>
    <xf numFmtId="166" fontId="10" fillId="0" borderId="12" xfId="4" applyNumberFormat="1" applyFont="1" applyBorder="1" applyAlignment="1" applyProtection="1">
      <alignment horizontal="left" vertical="top"/>
    </xf>
    <xf numFmtId="0" fontId="10" fillId="0" borderId="12" xfId="4" applyFont="1" applyBorder="1" applyAlignment="1" applyProtection="1">
      <alignment horizontal="left" vertical="top"/>
    </xf>
    <xf numFmtId="0" fontId="7" fillId="0" borderId="14" xfId="4" applyFont="1" applyBorder="1" applyAlignment="1" applyProtection="1">
      <alignment horizontal="center" vertical="center"/>
    </xf>
    <xf numFmtId="0" fontId="7" fillId="0" borderId="28" xfId="4" applyFont="1" applyBorder="1" applyAlignment="1" applyProtection="1">
      <alignment horizontal="center" vertical="center"/>
    </xf>
    <xf numFmtId="167" fontId="7" fillId="0" borderId="29" xfId="5" applyFont="1" applyFill="1" applyBorder="1" applyAlignment="1" applyProtection="1">
      <alignment horizontal="center" vertical="center"/>
    </xf>
    <xf numFmtId="167" fontId="7" fillId="0" borderId="30" xfId="5" applyFont="1" applyFill="1" applyBorder="1" applyAlignment="1" applyProtection="1">
      <alignment horizontal="center" vertical="center"/>
    </xf>
    <xf numFmtId="0" fontId="7" fillId="0" borderId="13" xfId="4" applyFont="1" applyBorder="1" applyAlignment="1" applyProtection="1">
      <alignment horizontal="center" vertical="center"/>
    </xf>
    <xf numFmtId="167" fontId="7" fillId="0" borderId="31" xfId="5" applyFont="1" applyFill="1" applyBorder="1" applyAlignment="1" applyProtection="1">
      <alignment horizontal="center" vertical="center"/>
    </xf>
    <xf numFmtId="0" fontId="7" fillId="0" borderId="12" xfId="4" applyFont="1" applyBorder="1" applyAlignment="1" applyProtection="1">
      <alignment horizontal="center" vertical="center"/>
    </xf>
    <xf numFmtId="166" fontId="7" fillId="0" borderId="9" xfId="4" applyNumberFormat="1" applyFont="1" applyBorder="1" applyAlignment="1" applyProtection="1">
      <alignment horizontal="center" vertical="center"/>
    </xf>
    <xf numFmtId="0" fontId="7" fillId="0" borderId="25" xfId="4" applyFont="1" applyBorder="1" applyAlignment="1" applyProtection="1">
      <alignment horizontal="center" vertical="center"/>
    </xf>
    <xf numFmtId="0" fontId="7" fillId="0" borderId="26" xfId="4" applyFont="1" applyBorder="1" applyAlignment="1" applyProtection="1">
      <alignment horizontal="center" vertical="center"/>
    </xf>
    <xf numFmtId="168" fontId="7" fillId="0" borderId="27" xfId="5" applyNumberFormat="1" applyFont="1" applyFill="1" applyBorder="1" applyAlignment="1" applyProtection="1">
      <alignment horizontal="center" vertical="center"/>
    </xf>
    <xf numFmtId="168" fontId="7" fillId="0" borderId="7" xfId="5" applyNumberFormat="1" applyFont="1" applyFill="1" applyBorder="1" applyAlignment="1" applyProtection="1">
      <alignment horizontal="center" vertical="center"/>
    </xf>
    <xf numFmtId="0" fontId="6" fillId="2" borderId="15" xfId="4" applyFont="1" applyFill="1" applyBorder="1" applyAlignment="1" applyProtection="1">
      <alignment horizontal="left" vertical="center" wrapText="1"/>
    </xf>
    <xf numFmtId="0" fontId="6" fillId="2" borderId="17" xfId="4" applyFont="1" applyFill="1" applyBorder="1" applyAlignment="1" applyProtection="1">
      <alignment horizontal="left" vertical="center" wrapText="1"/>
    </xf>
    <xf numFmtId="0" fontId="7" fillId="0" borderId="9" xfId="4" applyFont="1" applyBorder="1" applyAlignment="1" applyProtection="1">
      <alignment horizontal="left"/>
    </xf>
    <xf numFmtId="0" fontId="6" fillId="2" borderId="12" xfId="4" applyFont="1" applyFill="1" applyBorder="1" applyAlignment="1" applyProtection="1">
      <alignment horizontal="center" vertical="center"/>
    </xf>
    <xf numFmtId="49" fontId="7" fillId="0" borderId="14" xfId="4" applyNumberFormat="1" applyFont="1" applyBorder="1" applyAlignment="1" applyProtection="1">
      <alignment horizontal="left"/>
    </xf>
    <xf numFmtId="0" fontId="7" fillId="0" borderId="14" xfId="4" applyNumberFormat="1" applyFont="1" applyBorder="1" applyAlignment="1" applyProtection="1">
      <alignment horizontal="left"/>
    </xf>
    <xf numFmtId="49" fontId="7" fillId="0" borderId="12" xfId="4" applyNumberFormat="1" applyFont="1" applyBorder="1" applyAlignment="1" applyProtection="1">
      <alignment horizontal="center" vertical="center"/>
    </xf>
    <xf numFmtId="0" fontId="7" fillId="0" borderId="12" xfId="4" applyNumberFormat="1" applyFont="1" applyBorder="1" applyAlignment="1" applyProtection="1">
      <alignment horizontal="center" vertical="center"/>
    </xf>
    <xf numFmtId="0" fontId="7" fillId="0" borderId="9" xfId="4" applyNumberFormat="1" applyFont="1" applyBorder="1" applyAlignment="1" applyProtection="1">
      <alignment horizontal="left"/>
    </xf>
    <xf numFmtId="0" fontId="6" fillId="2" borderId="12" xfId="4" applyFont="1" applyFill="1" applyBorder="1" applyAlignment="1" applyProtection="1">
      <alignment horizontal="left" vertical="center" wrapText="1"/>
    </xf>
    <xf numFmtId="49" fontId="7" fillId="0" borderId="7" xfId="4" applyNumberFormat="1" applyFont="1" applyBorder="1" applyAlignment="1" applyProtection="1">
      <alignment horizontal="left"/>
    </xf>
    <xf numFmtId="0" fontId="7" fillId="0" borderId="7" xfId="4" applyFont="1" applyBorder="1" applyAlignment="1" applyProtection="1">
      <alignment horizontal="left"/>
    </xf>
    <xf numFmtId="0" fontId="8" fillId="0" borderId="24" xfId="4" applyFont="1" applyBorder="1" applyAlignment="1" applyProtection="1">
      <alignment horizontal="center"/>
    </xf>
    <xf numFmtId="0" fontId="11" fillId="0" borderId="12" xfId="4" applyFont="1" applyBorder="1" applyAlignment="1" applyProtection="1">
      <alignment horizontal="left" vertical="top"/>
    </xf>
    <xf numFmtId="0" fontId="7" fillId="0" borderId="12" xfId="4" applyFont="1" applyBorder="1" applyAlignment="1" applyProtection="1">
      <alignment horizontal="left"/>
    </xf>
    <xf numFmtId="49" fontId="22" fillId="3" borderId="0" xfId="0" applyNumberFormat="1" applyFont="1" applyFill="1" applyAlignment="1" applyProtection="1"/>
  </cellXfs>
  <cellStyles count="6">
    <cellStyle name="Komma" xfId="1" builtinId="3"/>
    <cellStyle name="Link" xfId="2" builtinId="8"/>
    <cellStyle name="Normal 2" xfId="3"/>
    <cellStyle name="Standard" xfId="0" builtinId="0"/>
    <cellStyle name="Standard 2" xfId="4"/>
    <cellStyle name="Währung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466725</xdr:colOff>
      <xdr:row>0</xdr:row>
      <xdr:rowOff>114300</xdr:rowOff>
    </xdr:from>
    <xdr:to>
      <xdr:col>5</xdr:col>
      <xdr:colOff>1743075</xdr:colOff>
      <xdr:row>0</xdr:row>
      <xdr:rowOff>400050</xdr:rowOff>
    </xdr:to>
    <xdr:pic>
      <xdr:nvPicPr>
        <xdr:cNvPr id="1025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114300"/>
          <a:ext cx="2647950" cy="285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142875</xdr:rowOff>
    </xdr:from>
    <xdr:to>
      <xdr:col>6</xdr:col>
      <xdr:colOff>1057275</xdr:colOff>
      <xdr:row>0</xdr:row>
      <xdr:rowOff>428625</xdr:rowOff>
    </xdr:to>
    <xdr:pic>
      <xdr:nvPicPr>
        <xdr:cNvPr id="2049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42875"/>
          <a:ext cx="2647950" cy="285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flege@so.c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sic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6"/>
  <sheetViews>
    <sheetView tabSelected="1" workbookViewId="0">
      <selection activeCell="C5" sqref="C5"/>
    </sheetView>
  </sheetViews>
  <sheetFormatPr baseColWidth="10" defaultRowHeight="15"/>
  <cols>
    <col min="1" max="1" width="2.28515625" style="2" customWidth="1"/>
    <col min="2" max="5" width="20.5703125" style="2" customWidth="1"/>
    <col min="6" max="6" width="28.140625" style="2" bestFit="1" customWidth="1"/>
    <col min="7" max="7" width="1.28515625" style="2" customWidth="1"/>
    <col min="8" max="16384" width="11.42578125" style="2"/>
  </cols>
  <sheetData>
    <row r="1" spans="2:7" ht="42" customHeight="1"/>
    <row r="2" spans="2:7" ht="18" customHeight="1">
      <c r="B2" s="126" t="s">
        <v>9</v>
      </c>
      <c r="C2" s="126"/>
      <c r="D2" s="126"/>
      <c r="E2" s="126"/>
      <c r="F2" s="118" t="s">
        <v>117</v>
      </c>
      <c r="G2" s="30"/>
    </row>
    <row r="3" spans="2:7">
      <c r="B3" s="1"/>
      <c r="C3" s="1"/>
      <c r="D3" s="1"/>
      <c r="E3" s="1"/>
    </row>
    <row r="5" spans="2:7" ht="15.75">
      <c r="B5" s="25" t="s">
        <v>11</v>
      </c>
      <c r="C5" s="26" t="s">
        <v>12</v>
      </c>
      <c r="D5" s="175"/>
      <c r="E5" s="25" t="s">
        <v>20</v>
      </c>
      <c r="F5" s="26" t="s">
        <v>21</v>
      </c>
    </row>
    <row r="6" spans="2:7" ht="15.75">
      <c r="B6" s="25" t="s">
        <v>13</v>
      </c>
      <c r="C6" s="26" t="s">
        <v>14</v>
      </c>
      <c r="D6" s="175"/>
      <c r="E6" s="25" t="s">
        <v>22</v>
      </c>
      <c r="F6" s="26" t="s">
        <v>23</v>
      </c>
    </row>
    <row r="7" spans="2:7" ht="15.75">
      <c r="B7" s="25" t="s">
        <v>15</v>
      </c>
      <c r="C7" s="26" t="s">
        <v>16</v>
      </c>
      <c r="D7" s="175"/>
      <c r="E7" s="25" t="s">
        <v>24</v>
      </c>
      <c r="F7" s="26" t="s">
        <v>25</v>
      </c>
    </row>
    <row r="8" spans="2:7" ht="15.75">
      <c r="B8" s="25" t="s">
        <v>17</v>
      </c>
      <c r="C8" s="26" t="s">
        <v>18</v>
      </c>
      <c r="D8" s="175"/>
      <c r="E8" s="25" t="s">
        <v>26</v>
      </c>
      <c r="F8" s="26" t="s">
        <v>27</v>
      </c>
    </row>
    <row r="9" spans="2:7" ht="15.75">
      <c r="B9" s="25" t="s">
        <v>19</v>
      </c>
      <c r="C9" s="26" t="s">
        <v>80</v>
      </c>
      <c r="D9" s="175"/>
      <c r="E9" s="25" t="s">
        <v>28</v>
      </c>
      <c r="F9" s="27" t="s">
        <v>29</v>
      </c>
    </row>
    <row r="10" spans="2:7" ht="15.75">
      <c r="B10" s="4"/>
      <c r="C10" s="4"/>
      <c r="D10" s="5"/>
      <c r="E10" s="25" t="s">
        <v>30</v>
      </c>
      <c r="F10" s="26" t="s">
        <v>81</v>
      </c>
    </row>
    <row r="12" spans="2:7" ht="15" customHeight="1">
      <c r="B12" s="124" t="s">
        <v>0</v>
      </c>
      <c r="C12" s="125"/>
      <c r="D12" s="127" t="s">
        <v>76</v>
      </c>
      <c r="E12" s="128"/>
    </row>
    <row r="13" spans="2:7" ht="15" customHeight="1">
      <c r="B13" s="124" t="s">
        <v>10</v>
      </c>
      <c r="C13" s="125"/>
      <c r="D13" s="127" t="s">
        <v>79</v>
      </c>
      <c r="E13" s="128"/>
    </row>
    <row r="14" spans="2:7" ht="15" customHeight="1">
      <c r="B14" s="121" t="s">
        <v>74</v>
      </c>
      <c r="C14" s="56"/>
      <c r="D14" s="122" t="s">
        <v>23</v>
      </c>
      <c r="E14" s="123" t="s">
        <v>77</v>
      </c>
    </row>
    <row r="15" spans="2:7" ht="15" customHeight="1">
      <c r="B15" s="121" t="s">
        <v>75</v>
      </c>
      <c r="C15" s="56"/>
      <c r="D15" s="122" t="s">
        <v>23</v>
      </c>
      <c r="E15" s="123" t="s">
        <v>75</v>
      </c>
    </row>
    <row r="16" spans="2:7">
      <c r="B16" s="6"/>
      <c r="C16" s="7"/>
      <c r="D16" s="7"/>
      <c r="E16" s="7"/>
    </row>
    <row r="17" spans="2:7" ht="15" customHeight="1">
      <c r="B17" s="124" t="s">
        <v>1</v>
      </c>
      <c r="C17" s="125"/>
      <c r="D17" s="119">
        <v>43831</v>
      </c>
      <c r="E17" s="7"/>
      <c r="F17" s="7"/>
      <c r="G17" s="3"/>
    </row>
    <row r="18" spans="2:7">
      <c r="B18" s="4"/>
      <c r="C18" s="4"/>
      <c r="D18" s="5"/>
      <c r="E18" s="5"/>
    </row>
    <row r="19" spans="2:7">
      <c r="B19" s="124" t="s">
        <v>2</v>
      </c>
      <c r="C19" s="125"/>
      <c r="D19" s="28">
        <v>45292</v>
      </c>
      <c r="F19" s="3"/>
    </row>
    <row r="21" spans="2:7">
      <c r="B21" s="8" t="s">
        <v>31</v>
      </c>
      <c r="C21" s="8"/>
    </row>
    <row r="23" spans="2:7" ht="25.5">
      <c r="B23" s="9" t="s">
        <v>3</v>
      </c>
      <c r="C23" s="9" t="s">
        <v>4</v>
      </c>
      <c r="D23" s="9" t="s">
        <v>5</v>
      </c>
      <c r="E23" s="10" t="s">
        <v>6</v>
      </c>
      <c r="F23" s="11" t="s">
        <v>7</v>
      </c>
    </row>
    <row r="24" spans="2:7">
      <c r="B24" s="12">
        <f>+IF($D$19="","",(VLOOKUP($D$19,Parameter!A:AF,2,0)))</f>
        <v>45292</v>
      </c>
      <c r="C24" s="29"/>
      <c r="D24" s="13" t="str">
        <f>IF(C24="","",IF(C24&gt;60,Parameter!$A$22,ROUND((C24/60*Parameter!$A$22)/5,2)*5))</f>
        <v/>
      </c>
      <c r="E24" s="14" t="str">
        <f>IF(C24="","",MROUND((C24/60*$K$20),0.05)-D24)</f>
        <v/>
      </c>
      <c r="F24" s="15" t="str">
        <f>IF(C24="","",SUM(D24:E24))</f>
        <v/>
      </c>
    </row>
    <row r="25" spans="2:7">
      <c r="B25" s="12">
        <f>+IF($D$19="","",(VLOOKUP($D$19,Parameter!A:AF,3,0)))</f>
        <v>45293</v>
      </c>
      <c r="C25" s="29"/>
      <c r="D25" s="13" t="str">
        <f>IF(C25="","",IF(C25&gt;60,Parameter!$A$22,ROUND((C25/60*Parameter!$A$22)/5,2)*5))</f>
        <v/>
      </c>
      <c r="E25" s="14" t="str">
        <f t="shared" ref="E25:E54" si="0">IF(C25="","",MROUND((C25/60*$K$20),0.05)-D25)</f>
        <v/>
      </c>
      <c r="F25" s="16" t="str">
        <f t="shared" ref="F25:F53" si="1">IF(C25="","",SUM(D25:E25))</f>
        <v/>
      </c>
    </row>
    <row r="26" spans="2:7">
      <c r="B26" s="12">
        <f>+IF($D$19="","",(VLOOKUP($D$19,Parameter!A:AF,4,0)))</f>
        <v>45294</v>
      </c>
      <c r="C26" s="29"/>
      <c r="D26" s="13" t="str">
        <f>IF(C26="","",IF(C26&gt;60,Parameter!$A$22,ROUND((C26/60*Parameter!$A$22)/5,2)*5))</f>
        <v/>
      </c>
      <c r="E26" s="14" t="str">
        <f t="shared" si="0"/>
        <v/>
      </c>
      <c r="F26" s="16" t="str">
        <f t="shared" si="1"/>
        <v/>
      </c>
    </row>
    <row r="27" spans="2:7">
      <c r="B27" s="12">
        <f>+IF($D$19="","",(VLOOKUP($D$19,Parameter!A:AF,5,0)))</f>
        <v>45295</v>
      </c>
      <c r="C27" s="29"/>
      <c r="D27" s="13" t="str">
        <f>IF(C27="","",IF(C27&gt;60,Parameter!$A$22,ROUND((C27/60*Parameter!$A$22)/5,2)*5))</f>
        <v/>
      </c>
      <c r="E27" s="14" t="str">
        <f t="shared" si="0"/>
        <v/>
      </c>
      <c r="F27" s="16" t="str">
        <f t="shared" si="1"/>
        <v/>
      </c>
    </row>
    <row r="28" spans="2:7">
      <c r="B28" s="12">
        <f>+IF($D$19="","",(VLOOKUP($D$19,Parameter!A:AF,6,0)))</f>
        <v>45296</v>
      </c>
      <c r="C28" s="29"/>
      <c r="D28" s="13" t="str">
        <f>IF(C28="","",IF(C28&gt;60,Parameter!$A$22,ROUND((C28/60*Parameter!$A$22)/5,2)*5))</f>
        <v/>
      </c>
      <c r="E28" s="14" t="str">
        <f t="shared" si="0"/>
        <v/>
      </c>
      <c r="F28" s="16" t="str">
        <f t="shared" si="1"/>
        <v/>
      </c>
    </row>
    <row r="29" spans="2:7">
      <c r="B29" s="12">
        <f>+IF($D$19="","",(VLOOKUP($D$19,Parameter!A:AF,7,0)))</f>
        <v>45297</v>
      </c>
      <c r="C29" s="29"/>
      <c r="D29" s="13" t="str">
        <f>IF(C29="","",IF(C29&gt;60,Parameter!$A$22,ROUND((C29/60*Parameter!$A$22)/5,2)*5))</f>
        <v/>
      </c>
      <c r="E29" s="14" t="str">
        <f t="shared" si="0"/>
        <v/>
      </c>
      <c r="F29" s="16" t="str">
        <f t="shared" si="1"/>
        <v/>
      </c>
    </row>
    <row r="30" spans="2:7">
      <c r="B30" s="12">
        <f>+IF($D$19="","",(VLOOKUP($D$19,Parameter!A:AF,8,0)))</f>
        <v>45298</v>
      </c>
      <c r="C30" s="29"/>
      <c r="D30" s="13" t="str">
        <f>IF(C30="","",IF(C30&gt;60,Parameter!$A$22,ROUND((C30/60*Parameter!$A$22)/5,2)*5))</f>
        <v/>
      </c>
      <c r="E30" s="14" t="str">
        <f t="shared" si="0"/>
        <v/>
      </c>
      <c r="F30" s="16" t="str">
        <f t="shared" si="1"/>
        <v/>
      </c>
    </row>
    <row r="31" spans="2:7">
      <c r="B31" s="12">
        <f>+IF($D$19="","",(VLOOKUP($D$19,Parameter!A:AF,9,0)))</f>
        <v>45299</v>
      </c>
      <c r="C31" s="29"/>
      <c r="D31" s="13" t="str">
        <f>IF(C31="","",IF(C31&gt;60,Parameter!$A$22,ROUND((C31/60*Parameter!$A$22)/5,2)*5))</f>
        <v/>
      </c>
      <c r="E31" s="14" t="str">
        <f t="shared" si="0"/>
        <v/>
      </c>
      <c r="F31" s="16" t="str">
        <f t="shared" si="1"/>
        <v/>
      </c>
    </row>
    <row r="32" spans="2:7">
      <c r="B32" s="12">
        <f>+IF($D$19="","",(VLOOKUP($D$19,Parameter!A:AF,10,0)))</f>
        <v>45300</v>
      </c>
      <c r="C32" s="29"/>
      <c r="D32" s="13" t="str">
        <f>IF(C32="","",IF(C32&gt;60,Parameter!$A$22,ROUND((C32/60*Parameter!$A$22)/5,2)*5))</f>
        <v/>
      </c>
      <c r="E32" s="14" t="str">
        <f t="shared" si="0"/>
        <v/>
      </c>
      <c r="F32" s="16" t="str">
        <f t="shared" si="1"/>
        <v/>
      </c>
    </row>
    <row r="33" spans="2:6">
      <c r="B33" s="12">
        <f>+IF($D$19="","",(VLOOKUP($D$19,Parameter!A:AF,11,0)))</f>
        <v>45301</v>
      </c>
      <c r="C33" s="29"/>
      <c r="D33" s="13" t="str">
        <f>IF(C33="","",IF(C33&gt;60,Parameter!$A$22,ROUND((C33/60*Parameter!$A$22)/5,2)*5))</f>
        <v/>
      </c>
      <c r="E33" s="14" t="str">
        <f t="shared" si="0"/>
        <v/>
      </c>
      <c r="F33" s="16" t="str">
        <f t="shared" si="1"/>
        <v/>
      </c>
    </row>
    <row r="34" spans="2:6">
      <c r="B34" s="12">
        <f>+IF($D$19="","",(VLOOKUP($D$19,Parameter!A:AF,12,0)))</f>
        <v>45302</v>
      </c>
      <c r="C34" s="29"/>
      <c r="D34" s="13" t="str">
        <f>IF(C34="","",IF(C34&gt;60,Parameter!$A$22,ROUND((C34/60*Parameter!$A$22)/5,2)*5))</f>
        <v/>
      </c>
      <c r="E34" s="14" t="str">
        <f t="shared" si="0"/>
        <v/>
      </c>
      <c r="F34" s="16" t="str">
        <f t="shared" si="1"/>
        <v/>
      </c>
    </row>
    <row r="35" spans="2:6">
      <c r="B35" s="12">
        <f>+IF($D$19="","",(VLOOKUP($D$19,Parameter!A:AF,13,0)))</f>
        <v>45303</v>
      </c>
      <c r="C35" s="29"/>
      <c r="D35" s="13" t="str">
        <f>IF(C35="","",IF(C35&gt;60,Parameter!$A$22,ROUND((C35/60*Parameter!$A$22)/5,2)*5))</f>
        <v/>
      </c>
      <c r="E35" s="14" t="str">
        <f t="shared" si="0"/>
        <v/>
      </c>
      <c r="F35" s="16" t="str">
        <f t="shared" si="1"/>
        <v/>
      </c>
    </row>
    <row r="36" spans="2:6">
      <c r="B36" s="12">
        <f>+IF($D$19="","",(VLOOKUP($D$19,Parameter!A:AF,14,0)))</f>
        <v>45304</v>
      </c>
      <c r="C36" s="29"/>
      <c r="D36" s="13" t="str">
        <f>IF(C36="","",IF(C36&gt;60,Parameter!$A$22,ROUND((C36/60*Parameter!$A$22)/5,2)*5))</f>
        <v/>
      </c>
      <c r="E36" s="14" t="str">
        <f t="shared" si="0"/>
        <v/>
      </c>
      <c r="F36" s="16" t="str">
        <f t="shared" si="1"/>
        <v/>
      </c>
    </row>
    <row r="37" spans="2:6">
      <c r="B37" s="12">
        <f>+IF($D$19="","",(VLOOKUP($D$19,Parameter!A:AF,15,0)))</f>
        <v>45305</v>
      </c>
      <c r="C37" s="29"/>
      <c r="D37" s="13" t="str">
        <f>IF(C37="","",IF(C37&gt;60,Parameter!$A$22,ROUND((C37/60*Parameter!$A$22)/5,2)*5))</f>
        <v/>
      </c>
      <c r="E37" s="14" t="str">
        <f t="shared" si="0"/>
        <v/>
      </c>
      <c r="F37" s="16" t="str">
        <f t="shared" si="1"/>
        <v/>
      </c>
    </row>
    <row r="38" spans="2:6">
      <c r="B38" s="12">
        <f>+IF($D$19="","",(VLOOKUP($D$19,Parameter!A:AF,16,0)))</f>
        <v>45306</v>
      </c>
      <c r="C38" s="29"/>
      <c r="D38" s="13" t="str">
        <f>IF(C38="","",IF(C38&gt;60,Parameter!$A$22,ROUND((C38/60*Parameter!$A$22)/5,2)*5))</f>
        <v/>
      </c>
      <c r="E38" s="14" t="str">
        <f t="shared" si="0"/>
        <v/>
      </c>
      <c r="F38" s="16" t="str">
        <f t="shared" si="1"/>
        <v/>
      </c>
    </row>
    <row r="39" spans="2:6">
      <c r="B39" s="12">
        <f>+IF($D$19="","",(VLOOKUP($D$19,Parameter!A:AF,17,0)))</f>
        <v>45307</v>
      </c>
      <c r="C39" s="29"/>
      <c r="D39" s="13" t="str">
        <f>IF(C39="","",IF(C39&gt;60,Parameter!$A$22,ROUND((C39/60*Parameter!$A$22)/5,2)*5))</f>
        <v/>
      </c>
      <c r="E39" s="14" t="str">
        <f t="shared" si="0"/>
        <v/>
      </c>
      <c r="F39" s="16" t="str">
        <f t="shared" si="1"/>
        <v/>
      </c>
    </row>
    <row r="40" spans="2:6">
      <c r="B40" s="12">
        <f>+IF($D$19="","",(VLOOKUP($D$19,Parameter!A:AF,18,0)))</f>
        <v>45308</v>
      </c>
      <c r="C40" s="29"/>
      <c r="D40" s="13" t="str">
        <f>IF(C40="","",IF(C40&gt;60,Parameter!$A$22,ROUND((C40/60*Parameter!$A$22)/5,2)*5))</f>
        <v/>
      </c>
      <c r="E40" s="14" t="str">
        <f t="shared" si="0"/>
        <v/>
      </c>
      <c r="F40" s="16" t="str">
        <f t="shared" si="1"/>
        <v/>
      </c>
    </row>
    <row r="41" spans="2:6">
      <c r="B41" s="12">
        <f>+IF($D$19="","",(VLOOKUP($D$19,Parameter!A:AF,19,0)))</f>
        <v>45309</v>
      </c>
      <c r="C41" s="29"/>
      <c r="D41" s="13" t="str">
        <f>IF(C41="","",IF(C41&gt;60,Parameter!$A$22,ROUND((C41/60*Parameter!$A$22)/5,2)*5))</f>
        <v/>
      </c>
      <c r="E41" s="14" t="str">
        <f t="shared" si="0"/>
        <v/>
      </c>
      <c r="F41" s="16" t="str">
        <f t="shared" si="1"/>
        <v/>
      </c>
    </row>
    <row r="42" spans="2:6">
      <c r="B42" s="12">
        <f>+IF($D$19="","",(VLOOKUP($D$19,Parameter!A:AF,20,0)))</f>
        <v>45310</v>
      </c>
      <c r="C42" s="29"/>
      <c r="D42" s="13" t="str">
        <f>IF(C42="","",IF(C42&gt;60,Parameter!$A$22,ROUND((C42/60*Parameter!$A$22)/5,2)*5))</f>
        <v/>
      </c>
      <c r="E42" s="14" t="str">
        <f t="shared" si="0"/>
        <v/>
      </c>
      <c r="F42" s="16" t="str">
        <f t="shared" si="1"/>
        <v/>
      </c>
    </row>
    <row r="43" spans="2:6">
      <c r="B43" s="12">
        <f>+IF($D$19="","",(VLOOKUP($D$19,Parameter!A:AF,21,0)))</f>
        <v>45311</v>
      </c>
      <c r="C43" s="29"/>
      <c r="D43" s="13" t="str">
        <f>IF(C43="","",IF(C43&gt;60,Parameter!$A$22,ROUND((C43/60*Parameter!$A$22)/5,2)*5))</f>
        <v/>
      </c>
      <c r="E43" s="14" t="str">
        <f t="shared" si="0"/>
        <v/>
      </c>
      <c r="F43" s="16" t="str">
        <f t="shared" si="1"/>
        <v/>
      </c>
    </row>
    <row r="44" spans="2:6">
      <c r="B44" s="12">
        <f>+IF($D$19="","",(VLOOKUP($D$19,Parameter!A:AF,22,0)))</f>
        <v>45312</v>
      </c>
      <c r="C44" s="29"/>
      <c r="D44" s="13" t="str">
        <f>IF(C44="","",IF(C44&gt;60,Parameter!$A$22,ROUND((C44/60*Parameter!$A$22)/5,2)*5))</f>
        <v/>
      </c>
      <c r="E44" s="14" t="str">
        <f t="shared" si="0"/>
        <v/>
      </c>
      <c r="F44" s="16" t="str">
        <f t="shared" si="1"/>
        <v/>
      </c>
    </row>
    <row r="45" spans="2:6">
      <c r="B45" s="12">
        <f>+IF($D$19="","",(VLOOKUP($D$19,Parameter!A:AF,23,0)))</f>
        <v>45313</v>
      </c>
      <c r="C45" s="29"/>
      <c r="D45" s="13" t="str">
        <f>IF(C45="","",IF(C45&gt;60,Parameter!$A$22,ROUND((C45/60*Parameter!$A$22)/5,2)*5))</f>
        <v/>
      </c>
      <c r="E45" s="14" t="str">
        <f t="shared" si="0"/>
        <v/>
      </c>
      <c r="F45" s="16" t="str">
        <f t="shared" si="1"/>
        <v/>
      </c>
    </row>
    <row r="46" spans="2:6">
      <c r="B46" s="12">
        <f>+IF($D$19="","",(VLOOKUP($D$19,Parameter!A:AF,24,0)))</f>
        <v>45314</v>
      </c>
      <c r="C46" s="29"/>
      <c r="D46" s="13" t="str">
        <f>IF(C46="","",IF(C46&gt;60,Parameter!$A$22,ROUND((C46/60*Parameter!$A$22)/5,2)*5))</f>
        <v/>
      </c>
      <c r="E46" s="14" t="str">
        <f t="shared" si="0"/>
        <v/>
      </c>
      <c r="F46" s="16" t="str">
        <f t="shared" si="1"/>
        <v/>
      </c>
    </row>
    <row r="47" spans="2:6">
      <c r="B47" s="12">
        <f>+IF($D$19="","",(VLOOKUP($D$19,Parameter!A:AF,25,0)))</f>
        <v>45315</v>
      </c>
      <c r="C47" s="29"/>
      <c r="D47" s="13" t="str">
        <f>IF(C47="","",IF(C47&gt;60,Parameter!$A$22,ROUND((C47/60*Parameter!$A$22)/5,2)*5))</f>
        <v/>
      </c>
      <c r="E47" s="14" t="str">
        <f t="shared" si="0"/>
        <v/>
      </c>
      <c r="F47" s="16" t="str">
        <f t="shared" si="1"/>
        <v/>
      </c>
    </row>
    <row r="48" spans="2:6">
      <c r="B48" s="12">
        <f>+IF($D$19="","",(VLOOKUP($D$19,Parameter!A:AF,26,0)))</f>
        <v>45316</v>
      </c>
      <c r="C48" s="29"/>
      <c r="D48" s="13" t="str">
        <f>IF(C48="","",IF(C48&gt;60,Parameter!$A$22,ROUND((C48/60*Parameter!$A$22)/5,2)*5))</f>
        <v/>
      </c>
      <c r="E48" s="14" t="str">
        <f t="shared" si="0"/>
        <v/>
      </c>
      <c r="F48" s="16" t="str">
        <f t="shared" si="1"/>
        <v/>
      </c>
    </row>
    <row r="49" spans="2:7">
      <c r="B49" s="12">
        <f>+IF($D$19="","",(VLOOKUP($D$19,Parameter!A:AF,27,0)))</f>
        <v>45317</v>
      </c>
      <c r="C49" s="29"/>
      <c r="D49" s="13" t="str">
        <f>IF(C49="","",IF(C49&gt;60,Parameter!$A$22,ROUND((C49/60*Parameter!$A$22)/5,2)*5))</f>
        <v/>
      </c>
      <c r="E49" s="14" t="str">
        <f t="shared" si="0"/>
        <v/>
      </c>
      <c r="F49" s="16" t="str">
        <f t="shared" si="1"/>
        <v/>
      </c>
    </row>
    <row r="50" spans="2:7">
      <c r="B50" s="12">
        <f>+IF($D$19="","",(VLOOKUP($D$19,Parameter!A:AF,28,0)))</f>
        <v>45318</v>
      </c>
      <c r="C50" s="29"/>
      <c r="D50" s="13" t="str">
        <f>IF(C50="","",IF(C50&gt;60,Parameter!$A$22,ROUND((C50/60*Parameter!$A$22)/5,2)*5))</f>
        <v/>
      </c>
      <c r="E50" s="14" t="str">
        <f t="shared" si="0"/>
        <v/>
      </c>
      <c r="F50" s="16" t="str">
        <f t="shared" si="1"/>
        <v/>
      </c>
    </row>
    <row r="51" spans="2:7">
      <c r="B51" s="12">
        <f>+IF($D$19="","",(VLOOKUP($D$19,Parameter!A:AF,29,0)))</f>
        <v>45319</v>
      </c>
      <c r="C51" s="29"/>
      <c r="D51" s="13" t="str">
        <f>IF(C51="","",IF(C51&gt;60,Parameter!$A$22,ROUND((C51/60*Parameter!$A$22)/5,2)*5))</f>
        <v/>
      </c>
      <c r="E51" s="14" t="str">
        <f t="shared" si="0"/>
        <v/>
      </c>
      <c r="F51" s="16" t="str">
        <f t="shared" si="1"/>
        <v/>
      </c>
    </row>
    <row r="52" spans="2:7">
      <c r="B52" s="12">
        <f>+IF($D$19="","",(VLOOKUP($D$19,Parameter!A:AF,30,0)))</f>
        <v>45320</v>
      </c>
      <c r="C52" s="29"/>
      <c r="D52" s="13" t="str">
        <f>IF(C52="","",IF(C52&gt;60,Parameter!$A$22,ROUND((C52/60*Parameter!$A$22)/5,2)*5))</f>
        <v/>
      </c>
      <c r="E52" s="14" t="str">
        <f t="shared" si="0"/>
        <v/>
      </c>
      <c r="F52" s="16" t="str">
        <f t="shared" si="1"/>
        <v/>
      </c>
    </row>
    <row r="53" spans="2:7">
      <c r="B53" s="12">
        <f>+IF($D$19="","",(VLOOKUP($D$19,Parameter!A:AF,31,0)))</f>
        <v>45321</v>
      </c>
      <c r="C53" s="29"/>
      <c r="D53" s="13" t="str">
        <f>IF(C53="","",IF(C53&gt;60,Parameter!$A$22,ROUND((C53/60*Parameter!$A$22)/5,2)*5))</f>
        <v/>
      </c>
      <c r="E53" s="14" t="str">
        <f t="shared" si="0"/>
        <v/>
      </c>
      <c r="F53" s="16" t="str">
        <f t="shared" si="1"/>
        <v/>
      </c>
    </row>
    <row r="54" spans="2:7">
      <c r="B54" s="12">
        <f>+IF($D$19="","",(VLOOKUP($D$19,Parameter!A:AF,32,0)))</f>
        <v>45322</v>
      </c>
      <c r="C54" s="29"/>
      <c r="D54" s="13" t="str">
        <f>IF(C54="","",IF(C54&gt;60,Parameter!$A$22,ROUND((C54/60*Parameter!$A$22)/5,2)*5))</f>
        <v/>
      </c>
      <c r="E54" s="14" t="str">
        <f t="shared" si="0"/>
        <v/>
      </c>
      <c r="F54" s="16">
        <f>IF($C$55="","",SUM(D54:E54))</f>
        <v>0</v>
      </c>
    </row>
    <row r="55" spans="2:7">
      <c r="B55" s="17" t="s">
        <v>8</v>
      </c>
      <c r="C55" s="18">
        <f>SUM(C24:C54)</f>
        <v>0</v>
      </c>
      <c r="D55" s="19">
        <f>SUM(D24:D54)</f>
        <v>0</v>
      </c>
      <c r="E55" s="20">
        <f>ROUND(((C55/60*$K$20)-D55)*20,0)/20</f>
        <v>0</v>
      </c>
      <c r="F55" s="21">
        <f>SUM(D55:E55)</f>
        <v>0</v>
      </c>
      <c r="G55" s="22"/>
    </row>
    <row r="56" spans="2:7">
      <c r="B56" s="17" t="s">
        <v>78</v>
      </c>
      <c r="C56" s="18">
        <f>+COUNTIFS(C24:C54,"&gt;0")</f>
        <v>0</v>
      </c>
      <c r="D56" s="19"/>
      <c r="E56" s="20"/>
      <c r="F56" s="21"/>
      <c r="G56" s="22"/>
    </row>
  </sheetData>
  <sheetProtection password="FBDE" sheet="1" objects="1" scenarios="1" selectLockedCells="1"/>
  <mergeCells count="7">
    <mergeCell ref="B17:C17"/>
    <mergeCell ref="B19:C19"/>
    <mergeCell ref="B13:C13"/>
    <mergeCell ref="B12:C12"/>
    <mergeCell ref="B2:E2"/>
    <mergeCell ref="D12:E12"/>
    <mergeCell ref="D13:E13"/>
  </mergeCells>
  <hyperlinks>
    <hyperlink ref="F9" r:id="rId1"/>
  </hyperlinks>
  <pageMargins left="0.70866141732283472" right="0.70866141732283472" top="0.78740157480314965" bottom="0.78740157480314965" header="0.31496062992125984" footer="0.31496062992125984"/>
  <pageSetup paperSize="9" scale="77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37"/>
  <sheetViews>
    <sheetView zoomScale="70" zoomScaleNormal="70" workbookViewId="0">
      <selection sqref="A1:X37"/>
    </sheetView>
  </sheetViews>
  <sheetFormatPr baseColWidth="10" defaultRowHeight="15"/>
  <cols>
    <col min="1" max="1" width="19.42578125" style="33" customWidth="1"/>
    <col min="2" max="2" width="32.42578125" style="33" customWidth="1"/>
    <col min="3" max="3" width="9.5703125" style="33" bestFit="1" customWidth="1"/>
    <col min="4" max="5" width="32.42578125" style="33" customWidth="1"/>
    <col min="6" max="7" width="21.140625" style="33" customWidth="1"/>
    <col min="8" max="8" width="6" style="33" bestFit="1" customWidth="1"/>
    <col min="9" max="9" width="11.140625" style="33" bestFit="1" customWidth="1"/>
    <col min="10" max="10" width="6" style="33" bestFit="1" customWidth="1"/>
    <col min="11" max="11" width="11.140625" style="35" bestFit="1" customWidth="1"/>
    <col min="12" max="12" width="11.42578125" style="33"/>
    <col min="13" max="13" width="12.85546875" style="33" bestFit="1" customWidth="1"/>
    <col min="14" max="23" width="11.42578125" style="33"/>
    <col min="24" max="24" width="15" style="33" bestFit="1" customWidth="1"/>
    <col min="25" max="25" width="11.42578125" style="2"/>
    <col min="26" max="29" width="11.42578125" style="33"/>
    <col min="30" max="30" width="11.42578125" style="2"/>
    <col min="31" max="16384" width="11.42578125" style="33"/>
  </cols>
  <sheetData>
    <row r="2" spans="1:20" ht="23.25" customHeight="1">
      <c r="A2" s="31" t="s">
        <v>70</v>
      </c>
      <c r="B2" s="31"/>
      <c r="C2" s="31"/>
      <c r="D2" s="31"/>
      <c r="E2" s="31"/>
      <c r="F2" s="31"/>
      <c r="G2" s="31"/>
      <c r="H2" s="31"/>
      <c r="I2" s="31"/>
      <c r="J2" s="31"/>
      <c r="K2" s="32"/>
    </row>
    <row r="3" spans="1:20" ht="23.25" customHeight="1">
      <c r="A3" s="31"/>
      <c r="B3" s="31"/>
      <c r="C3" s="31"/>
      <c r="D3" s="31" t="str">
        <f>+'Patientenbeteiligung 2024'!F2</f>
        <v>K 2024</v>
      </c>
      <c r="E3" s="31" t="s">
        <v>71</v>
      </c>
      <c r="H3" s="31"/>
      <c r="I3" s="31"/>
      <c r="J3" s="31"/>
      <c r="K3" s="32"/>
    </row>
    <row r="4" spans="1:20" ht="23.25" customHeight="1">
      <c r="A4" s="34"/>
    </row>
    <row r="5" spans="1:20" ht="33" customHeight="1">
      <c r="A5" s="138" t="s">
        <v>72</v>
      </c>
      <c r="B5" s="138"/>
      <c r="C5" s="138"/>
      <c r="D5" s="138"/>
      <c r="E5" s="138"/>
      <c r="F5" s="138"/>
      <c r="G5" s="138"/>
      <c r="H5" s="138"/>
      <c r="I5" s="36"/>
      <c r="J5" s="36"/>
      <c r="K5" s="37"/>
      <c r="L5" s="38"/>
      <c r="M5" s="39"/>
      <c r="N5" s="39"/>
    </row>
    <row r="6" spans="1:20" ht="23.25" customHeight="1"/>
    <row r="7" spans="1:20" s="40" customFormat="1" ht="23.25" customHeight="1">
      <c r="A7" s="105" t="s">
        <v>73</v>
      </c>
      <c r="B7" s="105"/>
      <c r="C7" s="105"/>
      <c r="D7" s="105"/>
      <c r="E7" s="105"/>
      <c r="F7" s="105"/>
      <c r="G7" s="105"/>
      <c r="H7" s="105"/>
      <c r="I7" s="105"/>
      <c r="J7" s="105"/>
      <c r="K7" s="106"/>
    </row>
    <row r="8" spans="1:20" s="40" customFormat="1" ht="23.25" customHeight="1">
      <c r="A8" s="105"/>
      <c r="B8" s="105"/>
      <c r="C8" s="105"/>
      <c r="D8" s="105"/>
      <c r="E8" s="105"/>
      <c r="F8" s="105"/>
      <c r="G8" s="105"/>
      <c r="H8" s="105"/>
      <c r="I8" s="105"/>
      <c r="J8" s="105"/>
      <c r="K8" s="106"/>
      <c r="O8" s="107"/>
    </row>
    <row r="9" spans="1:20" s="40" customFormat="1" ht="23.25" customHeight="1">
      <c r="A9" s="40" t="s">
        <v>11</v>
      </c>
      <c r="B9" s="108" t="str">
        <f>+'Patientenbeteiligung 2024'!C5</f>
        <v>ORGANISATIONS NAME</v>
      </c>
      <c r="C9" s="40" t="s">
        <v>17</v>
      </c>
      <c r="D9" s="139" t="str">
        <f>+'Patientenbeteiligung 2024'!C8</f>
        <v>S111111</v>
      </c>
      <c r="E9" s="140"/>
      <c r="F9" s="109"/>
      <c r="G9" s="109"/>
      <c r="H9" s="109"/>
      <c r="I9" s="109"/>
      <c r="K9" s="110"/>
    </row>
    <row r="10" spans="1:20" s="40" customFormat="1" ht="23.25" customHeight="1">
      <c r="A10" s="40" t="s">
        <v>13</v>
      </c>
      <c r="B10" s="108" t="str">
        <f>+'Patientenbeteiligung 2024'!C6</f>
        <v>NAME Verantwortliche Person</v>
      </c>
      <c r="C10" s="40" t="s">
        <v>19</v>
      </c>
      <c r="D10" s="139" t="str">
        <f>+'Patientenbeteiligung 2024'!C9</f>
        <v>7676767676767</v>
      </c>
      <c r="E10" s="140"/>
      <c r="F10" s="109"/>
      <c r="G10" s="109"/>
      <c r="H10" s="109"/>
      <c r="I10" s="109"/>
      <c r="K10" s="110"/>
    </row>
    <row r="11" spans="1:20" s="40" customFormat="1" ht="23.25" customHeight="1">
      <c r="A11" s="40" t="s">
        <v>15</v>
      </c>
      <c r="B11" s="108" t="str">
        <f>+'Patientenbeteiligung 2024'!C7</f>
        <v>VORNAME Verantwortliche Person</v>
      </c>
      <c r="D11" s="141"/>
      <c r="E11" s="140"/>
      <c r="K11" s="110"/>
    </row>
    <row r="12" spans="1:20" s="40" customFormat="1" ht="23.25" customHeight="1">
      <c r="A12" s="40" t="s">
        <v>20</v>
      </c>
      <c r="B12" s="108" t="str">
        <f>+'Patientenbeteiligung 2024'!F5</f>
        <v>Pflegestr. 1</v>
      </c>
      <c r="C12" s="111"/>
      <c r="D12" s="130"/>
      <c r="E12" s="131"/>
      <c r="F12" s="109"/>
      <c r="G12" s="109"/>
      <c r="H12" s="109"/>
      <c r="I12" s="109"/>
      <c r="K12" s="110"/>
    </row>
    <row r="13" spans="1:20" s="40" customFormat="1" ht="23.25" customHeight="1">
      <c r="A13" s="40" t="s">
        <v>22</v>
      </c>
      <c r="B13" s="108" t="str">
        <f>+'Patientenbeteiligung 2024'!F6</f>
        <v>4500</v>
      </c>
      <c r="C13" s="111"/>
      <c r="D13" s="130"/>
      <c r="E13" s="131"/>
      <c r="F13" s="109"/>
      <c r="G13" s="109"/>
      <c r="H13" s="109"/>
      <c r="I13" s="109"/>
      <c r="K13" s="110"/>
    </row>
    <row r="14" spans="1:20" s="40" customFormat="1" ht="23.25" customHeight="1">
      <c r="A14" s="40" t="s">
        <v>24</v>
      </c>
      <c r="B14" s="108" t="str">
        <f>+'Patientenbeteiligung 2024'!F7</f>
        <v>Solothurn</v>
      </c>
      <c r="C14" s="111"/>
      <c r="D14" s="130"/>
      <c r="E14" s="131"/>
      <c r="F14" s="109"/>
      <c r="G14" s="109"/>
      <c r="H14" s="109"/>
      <c r="I14" s="109"/>
      <c r="K14" s="110"/>
    </row>
    <row r="15" spans="1:20" s="40" customFormat="1" ht="23.25" customHeight="1">
      <c r="B15" s="112"/>
      <c r="C15" s="113"/>
      <c r="D15" s="113"/>
      <c r="E15" s="113"/>
      <c r="F15" s="111"/>
      <c r="G15" s="111"/>
      <c r="K15" s="110"/>
      <c r="O15" s="113"/>
      <c r="P15" s="113"/>
      <c r="Q15" s="113"/>
      <c r="R15" s="113"/>
      <c r="S15" s="113"/>
      <c r="T15" s="113"/>
    </row>
    <row r="16" spans="1:20" s="40" customFormat="1" ht="23.25" customHeight="1">
      <c r="A16" s="114" t="s">
        <v>34</v>
      </c>
      <c r="B16" s="115">
        <f>+'Patientenbeteiligung 2024'!D19</f>
        <v>45292</v>
      </c>
      <c r="C16" s="116"/>
      <c r="D16" s="116"/>
      <c r="E16" s="116"/>
      <c r="F16" s="116"/>
      <c r="G16" s="116"/>
      <c r="H16" s="114"/>
      <c r="I16" s="114"/>
      <c r="J16" s="114"/>
      <c r="K16" s="117"/>
    </row>
    <row r="17" spans="1:24" ht="23.25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2"/>
      <c r="L17" s="41"/>
      <c r="M17" s="43"/>
    </row>
    <row r="18" spans="1:24" ht="23.25" customHeight="1">
      <c r="N18" s="132" t="s">
        <v>35</v>
      </c>
      <c r="O18" s="132"/>
      <c r="P18" s="132"/>
      <c r="Q18" s="132"/>
      <c r="R18" s="132" t="s">
        <v>36</v>
      </c>
      <c r="S18" s="133"/>
      <c r="T18" s="133"/>
      <c r="U18" s="134" t="s">
        <v>37</v>
      </c>
      <c r="V18" s="134"/>
      <c r="W18" s="134"/>
      <c r="X18" s="134"/>
    </row>
    <row r="19" spans="1:24" ht="99.75" customHeight="1">
      <c r="A19" s="44" t="s">
        <v>38</v>
      </c>
      <c r="B19" s="44" t="s">
        <v>39</v>
      </c>
      <c r="C19" s="44" t="s">
        <v>40</v>
      </c>
      <c r="D19" s="44" t="s">
        <v>13</v>
      </c>
      <c r="E19" s="44" t="s">
        <v>24</v>
      </c>
      <c r="F19" s="44" t="s">
        <v>41</v>
      </c>
      <c r="G19" s="44" t="s">
        <v>42</v>
      </c>
      <c r="H19" s="44" t="s">
        <v>43</v>
      </c>
      <c r="I19" s="44" t="s">
        <v>44</v>
      </c>
      <c r="J19" s="44" t="s">
        <v>45</v>
      </c>
      <c r="K19" s="45" t="s">
        <v>46</v>
      </c>
      <c r="L19" s="46" t="s">
        <v>47</v>
      </c>
      <c r="M19" s="47" t="s">
        <v>48</v>
      </c>
      <c r="N19" s="47" t="s">
        <v>49</v>
      </c>
      <c r="O19" s="47" t="s">
        <v>50</v>
      </c>
      <c r="P19" s="47" t="s">
        <v>51</v>
      </c>
      <c r="Q19" s="46" t="s">
        <v>52</v>
      </c>
      <c r="R19" s="47" t="s">
        <v>53</v>
      </c>
      <c r="S19" s="47" t="s">
        <v>54</v>
      </c>
      <c r="T19" s="47" t="s">
        <v>55</v>
      </c>
      <c r="U19" s="47" t="s">
        <v>53</v>
      </c>
      <c r="V19" s="47" t="s">
        <v>56</v>
      </c>
      <c r="W19" s="47" t="s">
        <v>57</v>
      </c>
      <c r="X19" s="48" t="s">
        <v>58</v>
      </c>
    </row>
    <row r="20" spans="1:24" ht="23.25" customHeight="1" thickBot="1">
      <c r="A20" s="49" t="str">
        <f>IFERROR(IF($H$20&lt;&gt;"",E3,""),"")</f>
        <v>K</v>
      </c>
      <c r="B20" s="49" t="str">
        <f>IFERROR(IF($H$20&lt;&gt;"",D9,""),"")</f>
        <v>S111111</v>
      </c>
      <c r="C20" s="49" t="str">
        <f>IFERROR(IF($H$20&lt;&gt;"",B9,""),"")</f>
        <v>ORGANISATIONS NAME</v>
      </c>
      <c r="D20" s="49" t="str">
        <f>IFERROR(IF($H$20&lt;&gt;"",B10&amp;" "&amp;B11,""),"")</f>
        <v>NAME Verantwortliche Person VORNAME Verantwortliche Person</v>
      </c>
      <c r="E20" s="49" t="str">
        <f>IFERROR(IF($H$20&lt;&gt;"",+B14,""),"")</f>
        <v>Solothurn</v>
      </c>
      <c r="F20" s="120">
        <f>IFERROR(IF($H$20&lt;&gt;"",B16,""),"")</f>
        <v>45292</v>
      </c>
      <c r="G20" s="49" t="str">
        <f>IFERROR(IF($H$20&lt;&gt;"",'Patientenbeteiligung 2024'!D13,""),"")</f>
        <v>756.0000.0000.00</v>
      </c>
      <c r="H20" s="49" t="str">
        <f>IF(ISBLANK('Patientenbeteiligung 2024'!D14),"",('Patientenbeteiligung 2024'!D14))</f>
        <v>4500</v>
      </c>
      <c r="I20" s="49" t="str">
        <f>IF(ISBLANK('Patientenbeteiligung 2024'!E14),"",('Patientenbeteiligung 2024'!E14))</f>
        <v>Testort</v>
      </c>
      <c r="J20" s="49" t="str">
        <f>IF(ISBLANK('Patientenbeteiligung 2024'!D15),"",('Patientenbeteiligung 2024'!D15))</f>
        <v>4500</v>
      </c>
      <c r="K20" s="49" t="str">
        <f>IF(ISBLANK('Patientenbeteiligung 2024'!E15),"",('Patientenbeteiligung 2024'!E15))</f>
        <v>Pflegeort</v>
      </c>
      <c r="L20" s="57">
        <f>+'Patientenbeteiligung 2024'!C56</f>
        <v>0</v>
      </c>
      <c r="M20" s="58">
        <f>+'Patientenbeteiligung 2024'!D55</f>
        <v>0</v>
      </c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1">
        <f>+M20</f>
        <v>0</v>
      </c>
    </row>
    <row r="21" spans="1:24" s="40" customFormat="1" ht="23.25" customHeight="1" thickBot="1">
      <c r="A21" s="99" t="s">
        <v>59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1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3" t="s">
        <v>60</v>
      </c>
      <c r="W21" s="102"/>
      <c r="X21" s="104">
        <f>ROUND(SUM(X20:X20)*20,)/20</f>
        <v>0</v>
      </c>
    </row>
    <row r="22" spans="1:24" ht="23.25" customHeight="1">
      <c r="A22" s="135" t="s">
        <v>61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</row>
    <row r="23" spans="1:24" s="86" customFormat="1" ht="36.75" customHeight="1">
      <c r="A23" s="136" t="s">
        <v>115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</row>
    <row r="24" spans="1:24" s="86" customFormat="1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8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</row>
    <row r="25" spans="1:24" s="86" customFormat="1">
      <c r="A25" s="137" t="s">
        <v>62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</row>
    <row r="26" spans="1:24" s="86" customFormat="1">
      <c r="A26" s="137" t="s">
        <v>63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</row>
    <row r="27" spans="1:24" s="86" customFormat="1" ht="18" customHeight="1">
      <c r="A27" s="137" t="s">
        <v>64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</row>
    <row r="28" spans="1:24" s="86" customFormat="1" ht="18" customHeight="1">
      <c r="A28" s="137" t="s">
        <v>65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</row>
    <row r="29" spans="1:24" s="86" customFormat="1">
      <c r="A29" s="137" t="s">
        <v>66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</row>
    <row r="30" spans="1:24" s="86" customFormat="1" ht="12" customHeight="1">
      <c r="K30" s="89"/>
    </row>
    <row r="31" spans="1:24" s="86" customFormat="1">
      <c r="A31" s="129" t="s">
        <v>116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</row>
    <row r="32" spans="1:24" s="86" customFormat="1" ht="12" customHeight="1">
      <c r="K32" s="89"/>
    </row>
    <row r="33" spans="1:24" s="86" customFormat="1">
      <c r="A33" s="90" t="s">
        <v>67</v>
      </c>
      <c r="B33" s="90"/>
      <c r="C33" s="90"/>
      <c r="D33" s="90"/>
      <c r="E33" s="90"/>
      <c r="F33" s="90"/>
      <c r="G33" s="90"/>
      <c r="H33" s="90"/>
      <c r="I33" s="90"/>
      <c r="J33" s="90"/>
      <c r="K33" s="91"/>
    </row>
    <row r="34" spans="1:24" s="86" customFormat="1">
      <c r="K34" s="89"/>
    </row>
    <row r="35" spans="1:24" s="86" customFormat="1">
      <c r="A35" s="92" t="s">
        <v>68</v>
      </c>
      <c r="B35" s="92"/>
      <c r="C35" s="92"/>
      <c r="D35" s="92"/>
      <c r="E35" s="92"/>
      <c r="F35" s="92"/>
      <c r="G35" s="92"/>
      <c r="H35" s="92"/>
      <c r="I35" s="92"/>
      <c r="J35" s="92"/>
      <c r="K35" s="93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5"/>
      <c r="X35" s="96"/>
    </row>
    <row r="36" spans="1:24" s="86" customFormat="1">
      <c r="A36" s="92" t="s">
        <v>69</v>
      </c>
      <c r="B36" s="92"/>
      <c r="C36" s="92"/>
      <c r="D36" s="92"/>
      <c r="E36" s="92"/>
      <c r="F36" s="92"/>
      <c r="G36" s="92"/>
      <c r="H36" s="92"/>
      <c r="I36" s="92"/>
      <c r="J36" s="92"/>
      <c r="K36" s="93"/>
      <c r="L36" s="97"/>
      <c r="M36" s="97"/>
      <c r="N36" s="90"/>
      <c r="X36" s="98" t="str">
        <f>D9&amp;"/"&amp;D10</f>
        <v>S111111/7676767676767</v>
      </c>
    </row>
    <row r="37" spans="1:24" ht="21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5"/>
      <c r="L37" s="52"/>
      <c r="M37" s="52"/>
      <c r="N37" s="53"/>
      <c r="O37" s="54"/>
      <c r="P37" s="54"/>
      <c r="Q37" s="54"/>
      <c r="R37" s="54"/>
      <c r="S37" s="54"/>
      <c r="T37" s="54"/>
      <c r="U37" s="54"/>
      <c r="V37" s="54"/>
      <c r="W37" s="54"/>
      <c r="X37" s="54"/>
    </row>
  </sheetData>
  <sheetProtection password="FBDE" sheet="1" objects="1" scenarios="1"/>
  <mergeCells count="18">
    <mergeCell ref="D13:E13"/>
    <mergeCell ref="A5:H5"/>
    <mergeCell ref="D9:E9"/>
    <mergeCell ref="D10:E10"/>
    <mergeCell ref="D11:E11"/>
    <mergeCell ref="D12:E12"/>
    <mergeCell ref="A31:X31"/>
    <mergeCell ref="D14:E14"/>
    <mergeCell ref="N18:Q18"/>
    <mergeCell ref="R18:T18"/>
    <mergeCell ref="U18:X18"/>
    <mergeCell ref="A22:X22"/>
    <mergeCell ref="A23:X23"/>
    <mergeCell ref="A25:X25"/>
    <mergeCell ref="A26:X26"/>
    <mergeCell ref="A27:X27"/>
    <mergeCell ref="A28:X28"/>
    <mergeCell ref="A29:X29"/>
  </mergeCells>
  <pageMargins left="0.70866141732283472" right="0.70866141732283472" top="0.78740157480314965" bottom="0.78740157480314965" header="0.31496062992125984" footer="0.31496062992125984"/>
  <pageSetup paperSize="9" scale="3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selection activeCell="A23" sqref="A23"/>
    </sheetView>
  </sheetViews>
  <sheetFormatPr baseColWidth="10" defaultRowHeight="15"/>
  <cols>
    <col min="1" max="1" width="15.28515625" bestFit="1" customWidth="1"/>
    <col min="2" max="32" width="10.140625" bestFit="1" customWidth="1"/>
  </cols>
  <sheetData>
    <row r="1" spans="1:32">
      <c r="A1" t="s">
        <v>32</v>
      </c>
    </row>
    <row r="2" spans="1:32">
      <c r="A2" s="23">
        <v>45292</v>
      </c>
      <c r="B2" s="24">
        <v>45292</v>
      </c>
      <c r="C2" s="24">
        <v>45293</v>
      </c>
      <c r="D2" s="24">
        <v>45294</v>
      </c>
      <c r="E2" s="24">
        <v>45295</v>
      </c>
      <c r="F2" s="24">
        <v>45296</v>
      </c>
      <c r="G2" s="24">
        <v>45297</v>
      </c>
      <c r="H2" s="24">
        <v>45298</v>
      </c>
      <c r="I2" s="24">
        <v>45299</v>
      </c>
      <c r="J2" s="24">
        <v>45300</v>
      </c>
      <c r="K2" s="24">
        <v>45301</v>
      </c>
      <c r="L2" s="24">
        <v>45302</v>
      </c>
      <c r="M2" s="24">
        <v>45303</v>
      </c>
      <c r="N2" s="24">
        <v>45304</v>
      </c>
      <c r="O2" s="24">
        <v>45305</v>
      </c>
      <c r="P2" s="24">
        <v>45306</v>
      </c>
      <c r="Q2" s="24">
        <v>45307</v>
      </c>
      <c r="R2" s="24">
        <v>45308</v>
      </c>
      <c r="S2" s="24">
        <v>45309</v>
      </c>
      <c r="T2" s="24">
        <v>45310</v>
      </c>
      <c r="U2" s="24">
        <v>45311</v>
      </c>
      <c r="V2" s="24">
        <v>45312</v>
      </c>
      <c r="W2" s="24">
        <v>45313</v>
      </c>
      <c r="X2" s="24">
        <v>45314</v>
      </c>
      <c r="Y2" s="24">
        <v>45315</v>
      </c>
      <c r="Z2" s="24">
        <v>45316</v>
      </c>
      <c r="AA2" s="24">
        <v>45317</v>
      </c>
      <c r="AB2" s="24">
        <v>45318</v>
      </c>
      <c r="AC2" s="24">
        <v>45319</v>
      </c>
      <c r="AD2" s="24">
        <v>45320</v>
      </c>
      <c r="AE2" s="24">
        <v>45321</v>
      </c>
      <c r="AF2" s="24">
        <v>45322</v>
      </c>
    </row>
    <row r="3" spans="1:32">
      <c r="A3" s="23">
        <v>45323</v>
      </c>
      <c r="B3" s="24">
        <v>45323</v>
      </c>
      <c r="C3" s="24">
        <v>45324</v>
      </c>
      <c r="D3" s="24">
        <v>45325</v>
      </c>
      <c r="E3" s="24">
        <v>45326</v>
      </c>
      <c r="F3" s="24">
        <v>45327</v>
      </c>
      <c r="G3" s="24">
        <v>45328</v>
      </c>
      <c r="H3" s="24">
        <v>45329</v>
      </c>
      <c r="I3" s="24">
        <v>45330</v>
      </c>
      <c r="J3" s="24">
        <v>45331</v>
      </c>
      <c r="K3" s="24">
        <v>45332</v>
      </c>
      <c r="L3" s="24">
        <v>45333</v>
      </c>
      <c r="M3" s="24">
        <v>45334</v>
      </c>
      <c r="N3" s="24">
        <v>45335</v>
      </c>
      <c r="O3" s="24">
        <v>45336</v>
      </c>
      <c r="P3" s="24">
        <v>45337</v>
      </c>
      <c r="Q3" s="24">
        <v>45338</v>
      </c>
      <c r="R3" s="24">
        <v>45339</v>
      </c>
      <c r="S3" s="24">
        <v>45340</v>
      </c>
      <c r="T3" s="24">
        <v>45341</v>
      </c>
      <c r="U3" s="24">
        <v>45342</v>
      </c>
      <c r="V3" s="24">
        <v>45343</v>
      </c>
      <c r="W3" s="24">
        <v>45344</v>
      </c>
      <c r="X3" s="24">
        <v>45345</v>
      </c>
      <c r="Y3" s="24">
        <v>45346</v>
      </c>
      <c r="Z3" s="24">
        <v>45347</v>
      </c>
      <c r="AA3" s="24">
        <v>45348</v>
      </c>
      <c r="AB3" s="24">
        <v>45349</v>
      </c>
      <c r="AC3" s="24">
        <v>45350</v>
      </c>
      <c r="AD3" s="24">
        <v>45351</v>
      </c>
      <c r="AE3" s="24" t="str">
        <f>""</f>
        <v/>
      </c>
      <c r="AF3" s="24" t="str">
        <f>""</f>
        <v/>
      </c>
    </row>
    <row r="4" spans="1:32">
      <c r="A4" s="23">
        <v>45352</v>
      </c>
      <c r="B4" s="24">
        <v>45352</v>
      </c>
      <c r="C4" s="24">
        <v>45353</v>
      </c>
      <c r="D4" s="24">
        <v>45354</v>
      </c>
      <c r="E4" s="24">
        <v>45355</v>
      </c>
      <c r="F4" s="24">
        <v>45356</v>
      </c>
      <c r="G4" s="24">
        <v>45357</v>
      </c>
      <c r="H4" s="24">
        <v>45358</v>
      </c>
      <c r="I4" s="24">
        <v>45359</v>
      </c>
      <c r="J4" s="24">
        <v>45360</v>
      </c>
      <c r="K4" s="24">
        <v>45361</v>
      </c>
      <c r="L4" s="24">
        <v>45362</v>
      </c>
      <c r="M4" s="24">
        <v>45363</v>
      </c>
      <c r="N4" s="24">
        <v>45364</v>
      </c>
      <c r="O4" s="24">
        <v>45365</v>
      </c>
      <c r="P4" s="24">
        <v>45366</v>
      </c>
      <c r="Q4" s="24">
        <v>45367</v>
      </c>
      <c r="R4" s="24">
        <v>45368</v>
      </c>
      <c r="S4" s="24">
        <v>45369</v>
      </c>
      <c r="T4" s="24">
        <v>45370</v>
      </c>
      <c r="U4" s="24">
        <v>45371</v>
      </c>
      <c r="V4" s="24">
        <v>45372</v>
      </c>
      <c r="W4" s="24">
        <v>45373</v>
      </c>
      <c r="X4" s="24">
        <v>45374</v>
      </c>
      <c r="Y4" s="24">
        <v>45375</v>
      </c>
      <c r="Z4" s="24">
        <v>45376</v>
      </c>
      <c r="AA4" s="24">
        <v>45377</v>
      </c>
      <c r="AB4" s="24">
        <v>45378</v>
      </c>
      <c r="AC4" s="24">
        <v>45379</v>
      </c>
      <c r="AD4" s="24">
        <v>45380</v>
      </c>
      <c r="AE4" s="24">
        <v>45381</v>
      </c>
      <c r="AF4" s="24">
        <v>45382</v>
      </c>
    </row>
    <row r="5" spans="1:32">
      <c r="A5" s="23">
        <v>45383</v>
      </c>
      <c r="B5" s="24">
        <v>45383</v>
      </c>
      <c r="C5" s="24">
        <v>45384</v>
      </c>
      <c r="D5" s="24">
        <v>45385</v>
      </c>
      <c r="E5" s="24">
        <v>45386</v>
      </c>
      <c r="F5" s="24">
        <v>45387</v>
      </c>
      <c r="G5" s="24">
        <v>45388</v>
      </c>
      <c r="H5" s="24">
        <v>45389</v>
      </c>
      <c r="I5" s="24">
        <v>45390</v>
      </c>
      <c r="J5" s="24">
        <v>45391</v>
      </c>
      <c r="K5" s="24">
        <v>45392</v>
      </c>
      <c r="L5" s="24">
        <v>45393</v>
      </c>
      <c r="M5" s="24">
        <v>45394</v>
      </c>
      <c r="N5" s="24">
        <v>45395</v>
      </c>
      <c r="O5" s="24">
        <v>45396</v>
      </c>
      <c r="P5" s="24">
        <v>45397</v>
      </c>
      <c r="Q5" s="24">
        <v>45398</v>
      </c>
      <c r="R5" s="24">
        <v>45399</v>
      </c>
      <c r="S5" s="24">
        <v>45400</v>
      </c>
      <c r="T5" s="24">
        <v>45401</v>
      </c>
      <c r="U5" s="24">
        <v>45402</v>
      </c>
      <c r="V5" s="24">
        <v>45403</v>
      </c>
      <c r="W5" s="24">
        <v>45404</v>
      </c>
      <c r="X5" s="24">
        <v>45405</v>
      </c>
      <c r="Y5" s="24">
        <v>45406</v>
      </c>
      <c r="Z5" s="24">
        <v>45407</v>
      </c>
      <c r="AA5" s="24">
        <v>45408</v>
      </c>
      <c r="AB5" s="24">
        <v>45409</v>
      </c>
      <c r="AC5" s="24">
        <v>45410</v>
      </c>
      <c r="AD5" s="24">
        <v>45411</v>
      </c>
      <c r="AE5" s="24">
        <v>45412</v>
      </c>
      <c r="AF5" s="24" t="str">
        <f>""</f>
        <v/>
      </c>
    </row>
    <row r="6" spans="1:32">
      <c r="A6" s="23">
        <v>45413</v>
      </c>
      <c r="B6" s="24">
        <v>45413</v>
      </c>
      <c r="C6" s="24">
        <v>45414</v>
      </c>
      <c r="D6" s="24">
        <v>45415</v>
      </c>
      <c r="E6" s="24">
        <v>45416</v>
      </c>
      <c r="F6" s="24">
        <v>45417</v>
      </c>
      <c r="G6" s="24">
        <v>45418</v>
      </c>
      <c r="H6" s="24">
        <v>45419</v>
      </c>
      <c r="I6" s="24">
        <v>45420</v>
      </c>
      <c r="J6" s="24">
        <v>45421</v>
      </c>
      <c r="K6" s="24">
        <v>45422</v>
      </c>
      <c r="L6" s="24">
        <v>45423</v>
      </c>
      <c r="M6" s="24">
        <v>45424</v>
      </c>
      <c r="N6" s="24">
        <v>45425</v>
      </c>
      <c r="O6" s="24">
        <v>45426</v>
      </c>
      <c r="P6" s="24">
        <v>45427</v>
      </c>
      <c r="Q6" s="24">
        <v>45428</v>
      </c>
      <c r="R6" s="24">
        <v>45429</v>
      </c>
      <c r="S6" s="24">
        <v>45430</v>
      </c>
      <c r="T6" s="24">
        <v>45431</v>
      </c>
      <c r="U6" s="24">
        <v>45432</v>
      </c>
      <c r="V6" s="24">
        <v>45433</v>
      </c>
      <c r="W6" s="24">
        <v>45434</v>
      </c>
      <c r="X6" s="24">
        <v>45435</v>
      </c>
      <c r="Y6" s="24">
        <v>45436</v>
      </c>
      <c r="Z6" s="24">
        <v>45437</v>
      </c>
      <c r="AA6" s="24">
        <v>45438</v>
      </c>
      <c r="AB6" s="24">
        <v>45439</v>
      </c>
      <c r="AC6" s="24">
        <v>45440</v>
      </c>
      <c r="AD6" s="24">
        <v>45441</v>
      </c>
      <c r="AE6" s="24">
        <v>45442</v>
      </c>
      <c r="AF6" s="24">
        <v>45443</v>
      </c>
    </row>
    <row r="7" spans="1:32">
      <c r="A7" s="23">
        <v>45444</v>
      </c>
      <c r="B7" s="24">
        <v>45444</v>
      </c>
      <c r="C7" s="24">
        <v>45445</v>
      </c>
      <c r="D7" s="24">
        <v>45446</v>
      </c>
      <c r="E7" s="24">
        <v>45447</v>
      </c>
      <c r="F7" s="24">
        <v>45448</v>
      </c>
      <c r="G7" s="24">
        <v>45449</v>
      </c>
      <c r="H7" s="24">
        <v>45450</v>
      </c>
      <c r="I7" s="24">
        <v>45451</v>
      </c>
      <c r="J7" s="24">
        <v>45452</v>
      </c>
      <c r="K7" s="24">
        <v>45453</v>
      </c>
      <c r="L7" s="24">
        <v>45454</v>
      </c>
      <c r="M7" s="24">
        <v>45455</v>
      </c>
      <c r="N7" s="24">
        <v>45456</v>
      </c>
      <c r="O7" s="24">
        <v>45457</v>
      </c>
      <c r="P7" s="24">
        <v>45458</v>
      </c>
      <c r="Q7" s="24">
        <v>45459</v>
      </c>
      <c r="R7" s="24">
        <v>45460</v>
      </c>
      <c r="S7" s="24">
        <v>45461</v>
      </c>
      <c r="T7" s="24">
        <v>45462</v>
      </c>
      <c r="U7" s="24">
        <v>45463</v>
      </c>
      <c r="V7" s="24">
        <v>45464</v>
      </c>
      <c r="W7" s="24">
        <v>45465</v>
      </c>
      <c r="X7" s="24">
        <v>45466</v>
      </c>
      <c r="Y7" s="24">
        <v>45467</v>
      </c>
      <c r="Z7" s="24">
        <v>45468</v>
      </c>
      <c r="AA7" s="24">
        <v>45469</v>
      </c>
      <c r="AB7" s="24">
        <v>45470</v>
      </c>
      <c r="AC7" s="24">
        <v>45471</v>
      </c>
      <c r="AD7" s="24">
        <v>45472</v>
      </c>
      <c r="AE7" s="24">
        <v>45473</v>
      </c>
      <c r="AF7" s="24" t="str">
        <f>""</f>
        <v/>
      </c>
    </row>
    <row r="8" spans="1:32">
      <c r="A8" s="23">
        <v>45474</v>
      </c>
      <c r="B8" s="24">
        <v>45474</v>
      </c>
      <c r="C8" s="24">
        <v>45475</v>
      </c>
      <c r="D8" s="24">
        <v>45476</v>
      </c>
      <c r="E8" s="24">
        <v>45477</v>
      </c>
      <c r="F8" s="24">
        <v>45478</v>
      </c>
      <c r="G8" s="24">
        <v>45479</v>
      </c>
      <c r="H8" s="24">
        <v>45480</v>
      </c>
      <c r="I8" s="24">
        <v>45481</v>
      </c>
      <c r="J8" s="24">
        <v>45482</v>
      </c>
      <c r="K8" s="24">
        <v>45483</v>
      </c>
      <c r="L8" s="24">
        <v>45484</v>
      </c>
      <c r="M8" s="24">
        <v>45485</v>
      </c>
      <c r="N8" s="24">
        <v>45486</v>
      </c>
      <c r="O8" s="24">
        <v>45487</v>
      </c>
      <c r="P8" s="24">
        <v>45488</v>
      </c>
      <c r="Q8" s="24">
        <v>45489</v>
      </c>
      <c r="R8" s="24">
        <v>45490</v>
      </c>
      <c r="S8" s="24">
        <v>45491</v>
      </c>
      <c r="T8" s="24">
        <v>45492</v>
      </c>
      <c r="U8" s="24">
        <v>45493</v>
      </c>
      <c r="V8" s="24">
        <v>45494</v>
      </c>
      <c r="W8" s="24">
        <v>45495</v>
      </c>
      <c r="X8" s="24">
        <v>45496</v>
      </c>
      <c r="Y8" s="24">
        <v>45497</v>
      </c>
      <c r="Z8" s="24">
        <v>45498</v>
      </c>
      <c r="AA8" s="24">
        <v>45499</v>
      </c>
      <c r="AB8" s="24">
        <v>45500</v>
      </c>
      <c r="AC8" s="24">
        <v>45501</v>
      </c>
      <c r="AD8" s="24">
        <v>45502</v>
      </c>
      <c r="AE8" s="24">
        <v>45503</v>
      </c>
      <c r="AF8" s="24">
        <v>45504</v>
      </c>
    </row>
    <row r="9" spans="1:32">
      <c r="A9" s="23">
        <v>45505</v>
      </c>
      <c r="B9" s="24">
        <v>45505</v>
      </c>
      <c r="C9" s="24">
        <v>45506</v>
      </c>
      <c r="D9" s="24">
        <v>45507</v>
      </c>
      <c r="E9" s="24">
        <v>45508</v>
      </c>
      <c r="F9" s="24">
        <v>45509</v>
      </c>
      <c r="G9" s="24">
        <v>45510</v>
      </c>
      <c r="H9" s="24">
        <v>45511</v>
      </c>
      <c r="I9" s="24">
        <v>45512</v>
      </c>
      <c r="J9" s="24">
        <v>45513</v>
      </c>
      <c r="K9" s="24">
        <v>45514</v>
      </c>
      <c r="L9" s="24">
        <v>45515</v>
      </c>
      <c r="M9" s="24">
        <v>45516</v>
      </c>
      <c r="N9" s="24">
        <v>45517</v>
      </c>
      <c r="O9" s="24">
        <v>45518</v>
      </c>
      <c r="P9" s="24">
        <v>45519</v>
      </c>
      <c r="Q9" s="24">
        <v>45520</v>
      </c>
      <c r="R9" s="24">
        <v>45521</v>
      </c>
      <c r="S9" s="24">
        <v>45522</v>
      </c>
      <c r="T9" s="24">
        <v>45523</v>
      </c>
      <c r="U9" s="24">
        <v>45524</v>
      </c>
      <c r="V9" s="24">
        <v>45525</v>
      </c>
      <c r="W9" s="24">
        <v>45526</v>
      </c>
      <c r="X9" s="24">
        <v>45527</v>
      </c>
      <c r="Y9" s="24">
        <v>45528</v>
      </c>
      <c r="Z9" s="24">
        <v>45529</v>
      </c>
      <c r="AA9" s="24">
        <v>45530</v>
      </c>
      <c r="AB9" s="24">
        <v>45531</v>
      </c>
      <c r="AC9" s="24">
        <v>45532</v>
      </c>
      <c r="AD9" s="24">
        <v>45533</v>
      </c>
      <c r="AE9" s="24">
        <v>45534</v>
      </c>
      <c r="AF9" s="24">
        <v>45535</v>
      </c>
    </row>
    <row r="10" spans="1:32">
      <c r="A10" s="23">
        <v>45536</v>
      </c>
      <c r="B10" s="24">
        <v>45536</v>
      </c>
      <c r="C10" s="24">
        <v>45537</v>
      </c>
      <c r="D10" s="24">
        <v>45538</v>
      </c>
      <c r="E10" s="24">
        <v>45539</v>
      </c>
      <c r="F10" s="24">
        <v>45540</v>
      </c>
      <c r="G10" s="24">
        <v>45541</v>
      </c>
      <c r="H10" s="24">
        <v>45542</v>
      </c>
      <c r="I10" s="24">
        <v>45543</v>
      </c>
      <c r="J10" s="24">
        <v>45544</v>
      </c>
      <c r="K10" s="24">
        <v>45545</v>
      </c>
      <c r="L10" s="24">
        <v>45546</v>
      </c>
      <c r="M10" s="24">
        <v>45547</v>
      </c>
      <c r="N10" s="24">
        <v>45548</v>
      </c>
      <c r="O10" s="24">
        <v>45549</v>
      </c>
      <c r="P10" s="24">
        <v>45550</v>
      </c>
      <c r="Q10" s="24">
        <v>45551</v>
      </c>
      <c r="R10" s="24">
        <v>45552</v>
      </c>
      <c r="S10" s="24">
        <v>45553</v>
      </c>
      <c r="T10" s="24">
        <v>45554</v>
      </c>
      <c r="U10" s="24">
        <v>45555</v>
      </c>
      <c r="V10" s="24">
        <v>45556</v>
      </c>
      <c r="W10" s="24">
        <v>45557</v>
      </c>
      <c r="X10" s="24">
        <v>45558</v>
      </c>
      <c r="Y10" s="24">
        <v>45559</v>
      </c>
      <c r="Z10" s="24">
        <v>45560</v>
      </c>
      <c r="AA10" s="24">
        <v>45561</v>
      </c>
      <c r="AB10" s="24">
        <v>45562</v>
      </c>
      <c r="AC10" s="24">
        <v>45563</v>
      </c>
      <c r="AD10" s="24">
        <v>45564</v>
      </c>
      <c r="AE10" s="24">
        <v>45565</v>
      </c>
      <c r="AF10" s="24" t="str">
        <f>""</f>
        <v/>
      </c>
    </row>
    <row r="11" spans="1:32">
      <c r="A11" s="23">
        <v>45566</v>
      </c>
      <c r="B11" s="24">
        <v>45566</v>
      </c>
      <c r="C11" s="24">
        <v>45567</v>
      </c>
      <c r="D11" s="24">
        <v>45568</v>
      </c>
      <c r="E11" s="24">
        <v>45569</v>
      </c>
      <c r="F11" s="24">
        <v>45570</v>
      </c>
      <c r="G11" s="24">
        <v>45571</v>
      </c>
      <c r="H11" s="24">
        <v>45572</v>
      </c>
      <c r="I11" s="24">
        <v>45573</v>
      </c>
      <c r="J11" s="24">
        <v>45574</v>
      </c>
      <c r="K11" s="24">
        <v>45575</v>
      </c>
      <c r="L11" s="24">
        <v>45576</v>
      </c>
      <c r="M11" s="24">
        <v>45577</v>
      </c>
      <c r="N11" s="24">
        <v>45578</v>
      </c>
      <c r="O11" s="24">
        <v>45579</v>
      </c>
      <c r="P11" s="24">
        <v>45580</v>
      </c>
      <c r="Q11" s="24">
        <v>45581</v>
      </c>
      <c r="R11" s="24">
        <v>45582</v>
      </c>
      <c r="S11" s="24">
        <v>45583</v>
      </c>
      <c r="T11" s="24">
        <v>45584</v>
      </c>
      <c r="U11" s="24">
        <v>45585</v>
      </c>
      <c r="V11" s="24">
        <v>45586</v>
      </c>
      <c r="W11" s="24">
        <v>45587</v>
      </c>
      <c r="X11" s="24">
        <v>45588</v>
      </c>
      <c r="Y11" s="24">
        <v>45589</v>
      </c>
      <c r="Z11" s="24">
        <v>45590</v>
      </c>
      <c r="AA11" s="24">
        <v>45591</v>
      </c>
      <c r="AB11" s="24">
        <v>45592</v>
      </c>
      <c r="AC11" s="24">
        <v>45593</v>
      </c>
      <c r="AD11" s="24">
        <v>45594</v>
      </c>
      <c r="AE11" s="24">
        <v>45595</v>
      </c>
      <c r="AF11" s="24">
        <v>45596</v>
      </c>
    </row>
    <row r="12" spans="1:32">
      <c r="A12" s="23">
        <v>45597</v>
      </c>
      <c r="B12" s="24">
        <v>45597</v>
      </c>
      <c r="C12" s="24">
        <v>45598</v>
      </c>
      <c r="D12" s="24">
        <v>45599</v>
      </c>
      <c r="E12" s="24">
        <v>45600</v>
      </c>
      <c r="F12" s="24">
        <v>45601</v>
      </c>
      <c r="G12" s="24">
        <v>45602</v>
      </c>
      <c r="H12" s="24">
        <v>45603</v>
      </c>
      <c r="I12" s="24">
        <v>45604</v>
      </c>
      <c r="J12" s="24">
        <v>45605</v>
      </c>
      <c r="K12" s="24">
        <v>45606</v>
      </c>
      <c r="L12" s="24">
        <v>45607</v>
      </c>
      <c r="M12" s="24">
        <v>45608</v>
      </c>
      <c r="N12" s="24">
        <v>45609</v>
      </c>
      <c r="O12" s="24">
        <v>45610</v>
      </c>
      <c r="P12" s="24">
        <v>45611</v>
      </c>
      <c r="Q12" s="24">
        <v>45612</v>
      </c>
      <c r="R12" s="24">
        <v>45613</v>
      </c>
      <c r="S12" s="24">
        <v>45614</v>
      </c>
      <c r="T12" s="24">
        <v>45615</v>
      </c>
      <c r="U12" s="24">
        <v>45616</v>
      </c>
      <c r="V12" s="24">
        <v>45617</v>
      </c>
      <c r="W12" s="24">
        <v>45618</v>
      </c>
      <c r="X12" s="24">
        <v>45619</v>
      </c>
      <c r="Y12" s="24">
        <v>45620</v>
      </c>
      <c r="Z12" s="24">
        <v>45621</v>
      </c>
      <c r="AA12" s="24">
        <v>45622</v>
      </c>
      <c r="AB12" s="24">
        <v>45623</v>
      </c>
      <c r="AC12" s="24">
        <v>45624</v>
      </c>
      <c r="AD12" s="24">
        <v>45625</v>
      </c>
      <c r="AE12" s="24">
        <v>45626</v>
      </c>
      <c r="AF12" s="24" t="str">
        <f>""</f>
        <v/>
      </c>
    </row>
    <row r="13" spans="1:32">
      <c r="A13" s="23">
        <v>45627</v>
      </c>
      <c r="B13" s="24">
        <v>45627</v>
      </c>
      <c r="C13" s="24">
        <v>45628</v>
      </c>
      <c r="D13" s="24">
        <v>45629</v>
      </c>
      <c r="E13" s="24">
        <v>45630</v>
      </c>
      <c r="F13" s="24">
        <v>45631</v>
      </c>
      <c r="G13" s="24">
        <v>45632</v>
      </c>
      <c r="H13" s="24">
        <v>45633</v>
      </c>
      <c r="I13" s="24">
        <v>45634</v>
      </c>
      <c r="J13" s="24">
        <v>45635</v>
      </c>
      <c r="K13" s="24">
        <v>45636</v>
      </c>
      <c r="L13" s="24">
        <v>45637</v>
      </c>
      <c r="M13" s="24">
        <v>45638</v>
      </c>
      <c r="N13" s="24">
        <v>45639</v>
      </c>
      <c r="O13" s="24">
        <v>45640</v>
      </c>
      <c r="P13" s="24">
        <v>45641</v>
      </c>
      <c r="Q13" s="24">
        <v>45642</v>
      </c>
      <c r="R13" s="24">
        <v>45643</v>
      </c>
      <c r="S13" s="24">
        <v>45644</v>
      </c>
      <c r="T13" s="24">
        <v>45645</v>
      </c>
      <c r="U13" s="24">
        <v>45646</v>
      </c>
      <c r="V13" s="24">
        <v>45647</v>
      </c>
      <c r="W13" s="24">
        <v>45648</v>
      </c>
      <c r="X13" s="24">
        <v>45649</v>
      </c>
      <c r="Y13" s="24">
        <v>45650</v>
      </c>
      <c r="Z13" s="24">
        <v>45651</v>
      </c>
      <c r="AA13" s="24">
        <v>45652</v>
      </c>
      <c r="AB13" s="24">
        <v>45653</v>
      </c>
      <c r="AC13" s="24">
        <v>45654</v>
      </c>
      <c r="AD13" s="24">
        <v>45655</v>
      </c>
      <c r="AE13" s="24">
        <v>45656</v>
      </c>
      <c r="AF13" s="24">
        <v>45657</v>
      </c>
    </row>
    <row r="21" spans="1:1">
      <c r="A21" t="s">
        <v>33</v>
      </c>
    </row>
    <row r="22" spans="1:1">
      <c r="A22">
        <v>15.35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workbookViewId="0">
      <selection activeCell="J18" sqref="J18"/>
    </sheetView>
  </sheetViews>
  <sheetFormatPr baseColWidth="10" defaultRowHeight="12.75"/>
  <cols>
    <col min="1" max="1" width="11.42578125" style="70"/>
    <col min="2" max="2" width="26.5703125" style="70" customWidth="1"/>
    <col min="3" max="3" width="16" style="70" customWidth="1"/>
    <col min="4" max="4" width="11.42578125" style="70"/>
    <col min="5" max="5" width="10.5703125" style="70" customWidth="1"/>
    <col min="6" max="6" width="13.5703125" style="70" customWidth="1"/>
    <col min="7" max="7" width="17.7109375" style="70" customWidth="1"/>
    <col min="8" max="16384" width="11.42578125" style="70"/>
  </cols>
  <sheetData>
    <row r="1" spans="1:7" ht="42" customHeight="1">
      <c r="A1" s="172"/>
      <c r="B1" s="172"/>
      <c r="C1" s="172"/>
      <c r="D1" s="172"/>
      <c r="E1" s="172"/>
      <c r="F1" s="172"/>
      <c r="G1" s="172"/>
    </row>
    <row r="2" spans="1:7" ht="25.15" customHeight="1">
      <c r="A2" s="173" t="s">
        <v>94</v>
      </c>
      <c r="B2" s="173"/>
      <c r="C2" s="173"/>
      <c r="D2" s="173"/>
      <c r="E2" s="145" t="s">
        <v>95</v>
      </c>
      <c r="F2" s="145"/>
      <c r="G2" s="145"/>
    </row>
    <row r="3" spans="1:7" ht="75.400000000000006" customHeight="1">
      <c r="A3" s="173"/>
      <c r="B3" s="173"/>
      <c r="C3" s="173"/>
      <c r="D3" s="173"/>
      <c r="E3" s="174"/>
      <c r="F3" s="174"/>
      <c r="G3" s="174"/>
    </row>
    <row r="4" spans="1:7" ht="18.600000000000001" customHeight="1">
      <c r="A4" s="145" t="s">
        <v>96</v>
      </c>
      <c r="B4" s="145"/>
      <c r="C4" s="145"/>
      <c r="D4" s="145"/>
      <c r="E4" s="145"/>
      <c r="F4" s="71" t="s">
        <v>97</v>
      </c>
      <c r="G4" s="71" t="s">
        <v>98</v>
      </c>
    </row>
    <row r="5" spans="1:7" ht="26.25" customHeight="1">
      <c r="A5" s="143" t="s">
        <v>99</v>
      </c>
      <c r="B5" s="143"/>
      <c r="C5" s="143"/>
      <c r="D5" s="143"/>
      <c r="E5" s="143"/>
      <c r="F5" s="72" t="s">
        <v>100</v>
      </c>
      <c r="G5" s="73">
        <f ca="1">+TODAY()</f>
        <v>45341</v>
      </c>
    </row>
    <row r="6" spans="1:7" ht="20.25" customHeight="1">
      <c r="A6" s="145" t="s">
        <v>101</v>
      </c>
      <c r="B6" s="145"/>
      <c r="C6" s="145" t="s">
        <v>102</v>
      </c>
      <c r="D6" s="145"/>
      <c r="E6" s="145"/>
      <c r="F6" s="145"/>
      <c r="G6" s="145"/>
    </row>
    <row r="7" spans="1:7" ht="16.899999999999999" customHeight="1">
      <c r="A7" s="154"/>
      <c r="B7" s="154"/>
      <c r="C7" s="170" t="str">
        <f>+'Patientenbeteiligung 2024'!C5</f>
        <v>ORGANISATIONS NAME</v>
      </c>
      <c r="D7" s="171"/>
      <c r="E7" s="171"/>
      <c r="F7" s="171"/>
      <c r="G7" s="171"/>
    </row>
    <row r="8" spans="1:7" ht="29.25" customHeight="1">
      <c r="A8" s="154"/>
      <c r="B8" s="154"/>
      <c r="C8" s="168" t="str">
        <f>+'Patientenbeteiligung 2024'!C6&amp;" "&amp;'Patientenbeteiligung 2024'!C7</f>
        <v>NAME Verantwortliche Person VORNAME Verantwortliche Person</v>
      </c>
      <c r="D8" s="168"/>
      <c r="E8" s="168"/>
      <c r="F8" s="168"/>
      <c r="G8" s="168"/>
    </row>
    <row r="9" spans="1:7" ht="31.5" customHeight="1">
      <c r="A9" s="169" t="s">
        <v>103</v>
      </c>
      <c r="B9" s="169"/>
      <c r="C9" s="164" t="str">
        <f>+'Patientenbeteiligung 2024'!F5</f>
        <v>Pflegestr. 1</v>
      </c>
      <c r="D9" s="165"/>
      <c r="E9" s="165"/>
      <c r="F9" s="165"/>
      <c r="G9" s="165"/>
    </row>
    <row r="10" spans="1:7" ht="16.899999999999999" customHeight="1">
      <c r="A10" s="166" t="str">
        <f>+'Patientenbeteiligung 2024'!F10</f>
        <v>CH1111111111111111111</v>
      </c>
      <c r="B10" s="167"/>
      <c r="C10" s="162" t="s">
        <v>93</v>
      </c>
      <c r="D10" s="162"/>
      <c r="E10" s="162"/>
      <c r="F10" s="162"/>
      <c r="G10" s="162"/>
    </row>
    <row r="11" spans="1:7" ht="16.899999999999999" customHeight="1">
      <c r="A11" s="167"/>
      <c r="B11" s="167"/>
      <c r="C11" s="168" t="str">
        <f>+'Patientenbeteiligung 2024'!F6&amp;" "&amp;'Patientenbeteiligung 2024'!F7</f>
        <v>4500 Solothurn</v>
      </c>
      <c r="D11" s="168"/>
      <c r="E11" s="168"/>
      <c r="F11" s="168"/>
      <c r="G11" s="168"/>
    </row>
    <row r="12" spans="1:7" ht="16.899999999999999" customHeight="1">
      <c r="A12" s="167"/>
      <c r="B12" s="167"/>
      <c r="C12" s="74" t="s">
        <v>104</v>
      </c>
      <c r="D12" s="74" t="str">
        <f>+'Patientenbeteiligung 2024'!F2</f>
        <v>K 2024</v>
      </c>
      <c r="E12" s="74"/>
      <c r="F12" s="74"/>
      <c r="G12" s="75"/>
    </row>
    <row r="13" spans="1:7" ht="6.75" customHeight="1">
      <c r="A13" s="167" t="s">
        <v>93</v>
      </c>
      <c r="B13" s="167"/>
      <c r="C13" s="162" t="s">
        <v>93</v>
      </c>
      <c r="D13" s="162"/>
      <c r="E13" s="162"/>
      <c r="F13" s="162"/>
      <c r="G13" s="162"/>
    </row>
    <row r="14" spans="1:7" ht="18.600000000000001" customHeight="1">
      <c r="A14" s="145" t="s">
        <v>105</v>
      </c>
      <c r="B14" s="145"/>
      <c r="C14" s="76" t="s">
        <v>106</v>
      </c>
      <c r="D14" s="77"/>
      <c r="E14" s="77"/>
      <c r="F14" s="77"/>
      <c r="G14" s="78"/>
    </row>
    <row r="15" spans="1:7" ht="16.899999999999999" customHeight="1">
      <c r="A15" s="154" t="s">
        <v>93</v>
      </c>
      <c r="B15" s="154"/>
      <c r="C15" s="162"/>
      <c r="D15" s="162"/>
      <c r="E15" s="162"/>
      <c r="F15" s="162"/>
      <c r="G15" s="162"/>
    </row>
    <row r="16" spans="1:7" ht="16.899999999999999" customHeight="1">
      <c r="A16" s="154"/>
      <c r="B16" s="154"/>
      <c r="C16" s="168" t="str">
        <f>"[Kreditorenname + Ort] "&amp;TEXT('Patientenbeteiligung 2024'!D17,"TT.MM.JJJJ")&amp;"; "&amp;TEXT('Patientenbeteiligung 2024'!D19,"TT.MM.JJJ")</f>
        <v>[Kreditorenname + Ort] 01.01.2020; 01.01.2024</v>
      </c>
      <c r="D16" s="168"/>
      <c r="E16" s="168"/>
      <c r="F16" s="168"/>
      <c r="G16" s="168"/>
    </row>
    <row r="17" spans="1:7" ht="16.899999999999999" customHeight="1">
      <c r="A17" s="154"/>
      <c r="B17" s="154"/>
      <c r="C17" s="162"/>
      <c r="D17" s="162"/>
      <c r="E17" s="162"/>
      <c r="F17" s="162"/>
      <c r="G17" s="162"/>
    </row>
    <row r="18" spans="1:7" ht="39.75" customHeight="1">
      <c r="A18" s="160" t="s">
        <v>107</v>
      </c>
      <c r="B18" s="161"/>
      <c r="C18" s="162"/>
      <c r="D18" s="162"/>
      <c r="E18" s="162"/>
      <c r="F18" s="162"/>
      <c r="G18" s="162"/>
    </row>
    <row r="19" spans="1:7" ht="36.75" customHeight="1">
      <c r="A19" s="154"/>
      <c r="B19" s="154"/>
      <c r="C19" s="162"/>
      <c r="D19" s="162"/>
      <c r="E19" s="162"/>
      <c r="F19" s="162"/>
      <c r="G19" s="162"/>
    </row>
    <row r="20" spans="1:7" ht="16.899999999999999" customHeight="1">
      <c r="A20" s="145" t="s">
        <v>108</v>
      </c>
      <c r="B20" s="145"/>
      <c r="C20" s="163" t="s">
        <v>109</v>
      </c>
      <c r="D20" s="163"/>
      <c r="E20" s="163"/>
      <c r="F20" s="163"/>
      <c r="G20" s="163"/>
    </row>
    <row r="21" spans="1:7" ht="16.899999999999999" customHeight="1">
      <c r="A21" s="154" t="s">
        <v>110</v>
      </c>
      <c r="B21" s="154"/>
      <c r="C21" s="155"/>
      <c r="D21" s="155"/>
      <c r="E21" s="155"/>
      <c r="F21" s="155"/>
      <c r="G21" s="155"/>
    </row>
    <row r="22" spans="1:7" ht="36" customHeight="1">
      <c r="A22" s="154"/>
      <c r="B22" s="154"/>
      <c r="C22" s="155"/>
      <c r="D22" s="155"/>
      <c r="E22" s="155"/>
      <c r="F22" s="155"/>
      <c r="G22" s="155"/>
    </row>
    <row r="23" spans="1:7" ht="16.5" customHeight="1">
      <c r="A23" s="145" t="s">
        <v>82</v>
      </c>
      <c r="B23" s="145"/>
      <c r="C23" s="69" t="s">
        <v>111</v>
      </c>
      <c r="D23" s="79" t="s">
        <v>112</v>
      </c>
      <c r="E23" s="80"/>
      <c r="F23" s="79" t="s">
        <v>113</v>
      </c>
      <c r="G23" s="81">
        <f>SUM(F24:G26)</f>
        <v>0</v>
      </c>
    </row>
    <row r="24" spans="1:7" ht="16.899999999999999" customHeight="1">
      <c r="A24" s="156">
        <v>1015073</v>
      </c>
      <c r="B24" s="156"/>
      <c r="C24" s="82"/>
      <c r="D24" s="157"/>
      <c r="E24" s="157"/>
      <c r="F24" s="158">
        <f>+'Patientenbeteiligung 2024'!D55</f>
        <v>0</v>
      </c>
      <c r="G24" s="159"/>
    </row>
    <row r="25" spans="1:7" ht="16.899999999999999" customHeight="1">
      <c r="A25" s="148"/>
      <c r="B25" s="148"/>
      <c r="C25" s="82" t="s">
        <v>93</v>
      </c>
      <c r="D25" s="149"/>
      <c r="E25" s="149"/>
      <c r="F25" s="150"/>
      <c r="G25" s="151"/>
    </row>
    <row r="26" spans="1:7" ht="16.899999999999999" customHeight="1">
      <c r="A26" s="152"/>
      <c r="B26" s="152"/>
      <c r="C26" s="82"/>
      <c r="D26" s="149"/>
      <c r="E26" s="149"/>
      <c r="F26" s="153"/>
      <c r="G26" s="153"/>
    </row>
    <row r="27" spans="1:7" s="83" customFormat="1" ht="24.6" customHeight="1">
      <c r="A27" s="145" t="s">
        <v>83</v>
      </c>
      <c r="B27" s="145"/>
      <c r="C27" s="145" t="s">
        <v>90</v>
      </c>
      <c r="D27" s="145"/>
      <c r="E27" s="145" t="s">
        <v>91</v>
      </c>
      <c r="F27" s="145"/>
      <c r="G27" s="145"/>
    </row>
    <row r="28" spans="1:7" ht="16.899999999999999" customHeight="1">
      <c r="A28" s="59" t="s">
        <v>84</v>
      </c>
      <c r="B28" s="60"/>
      <c r="C28" s="146" t="s">
        <v>92</v>
      </c>
      <c r="D28" s="146"/>
      <c r="E28" s="147" t="s">
        <v>92</v>
      </c>
      <c r="F28" s="147"/>
      <c r="G28" s="147"/>
    </row>
    <row r="29" spans="1:7" ht="16.899999999999999" customHeight="1">
      <c r="A29" s="61" t="s">
        <v>85</v>
      </c>
      <c r="B29" s="62"/>
      <c r="C29" s="146"/>
      <c r="D29" s="146"/>
      <c r="E29" s="147"/>
      <c r="F29" s="147"/>
      <c r="G29" s="147"/>
    </row>
    <row r="30" spans="1:7" ht="23.65" customHeight="1">
      <c r="A30" s="63" t="s">
        <v>86</v>
      </c>
      <c r="B30" s="64"/>
      <c r="C30" s="146"/>
      <c r="D30" s="146"/>
      <c r="E30" s="147"/>
      <c r="F30" s="147"/>
      <c r="G30" s="147"/>
    </row>
    <row r="31" spans="1:7" ht="16.899999999999999" customHeight="1">
      <c r="A31" s="59" t="s">
        <v>87</v>
      </c>
      <c r="B31" s="60"/>
      <c r="C31" s="142" t="s">
        <v>93</v>
      </c>
      <c r="D31" s="142"/>
      <c r="E31" s="143"/>
      <c r="F31" s="143"/>
      <c r="G31" s="143"/>
    </row>
    <row r="32" spans="1:7" ht="16.899999999999999" customHeight="1">
      <c r="A32" s="65" t="s">
        <v>88</v>
      </c>
      <c r="B32" s="62"/>
      <c r="C32" s="142"/>
      <c r="D32" s="142"/>
      <c r="E32" s="143"/>
      <c r="F32" s="143"/>
      <c r="G32" s="143"/>
    </row>
    <row r="33" spans="1:7" ht="18.600000000000001" customHeight="1">
      <c r="A33" s="66" t="s">
        <v>86</v>
      </c>
      <c r="B33" s="67"/>
      <c r="C33" s="142"/>
      <c r="D33" s="142"/>
      <c r="E33" s="143"/>
      <c r="F33" s="143"/>
      <c r="G33" s="143"/>
    </row>
    <row r="34" spans="1:7" ht="16.899999999999999" customHeight="1">
      <c r="A34" s="59" t="s">
        <v>89</v>
      </c>
      <c r="B34" s="60"/>
      <c r="C34" s="142" t="s">
        <v>93</v>
      </c>
      <c r="D34" s="142"/>
      <c r="E34" s="143"/>
      <c r="F34" s="143"/>
      <c r="G34" s="143"/>
    </row>
    <row r="35" spans="1:7" ht="16.899999999999999" customHeight="1">
      <c r="A35" s="68" t="s">
        <v>86</v>
      </c>
      <c r="B35" s="62"/>
      <c r="C35" s="142"/>
      <c r="D35" s="142"/>
      <c r="E35" s="143"/>
      <c r="F35" s="143"/>
      <c r="G35" s="143"/>
    </row>
    <row r="36" spans="1:7" ht="15.2" customHeight="1">
      <c r="A36" s="144"/>
      <c r="B36" s="144"/>
      <c r="C36" s="142"/>
      <c r="D36" s="142"/>
      <c r="E36" s="143"/>
      <c r="F36" s="143"/>
      <c r="G36" s="143"/>
    </row>
    <row r="39" spans="1:7" s="85" customFormat="1" ht="15.2" customHeight="1">
      <c r="A39" s="84" t="s">
        <v>114</v>
      </c>
    </row>
  </sheetData>
  <sheetProtection password="FBDE" sheet="1" objects="1" scenarios="1" selectLockedCells="1" selectUnlockedCells="1"/>
  <mergeCells count="50">
    <mergeCell ref="A5:E5"/>
    <mergeCell ref="A1:G1"/>
    <mergeCell ref="A2:D3"/>
    <mergeCell ref="E2:G2"/>
    <mergeCell ref="E3:G3"/>
    <mergeCell ref="A4:E4"/>
    <mergeCell ref="A14:B14"/>
    <mergeCell ref="A15:B17"/>
    <mergeCell ref="C15:G15"/>
    <mergeCell ref="C16:G16"/>
    <mergeCell ref="C17:G17"/>
    <mergeCell ref="A6:B6"/>
    <mergeCell ref="C6:G6"/>
    <mergeCell ref="A7:B8"/>
    <mergeCell ref="C7:G7"/>
    <mergeCell ref="C8:G8"/>
    <mergeCell ref="C9:G9"/>
    <mergeCell ref="A10:B13"/>
    <mergeCell ref="C10:G10"/>
    <mergeCell ref="C11:G11"/>
    <mergeCell ref="C13:G13"/>
    <mergeCell ref="A9:B9"/>
    <mergeCell ref="A18:B18"/>
    <mergeCell ref="C18:G18"/>
    <mergeCell ref="A19:B19"/>
    <mergeCell ref="C19:G19"/>
    <mergeCell ref="A20:B20"/>
    <mergeCell ref="C20:G20"/>
    <mergeCell ref="A21:B22"/>
    <mergeCell ref="C21:G22"/>
    <mergeCell ref="A23:B23"/>
    <mergeCell ref="A24:B24"/>
    <mergeCell ref="D24:E24"/>
    <mergeCell ref="F24:G24"/>
    <mergeCell ref="A25:B25"/>
    <mergeCell ref="D25:E25"/>
    <mergeCell ref="F25:G25"/>
    <mergeCell ref="A26:B26"/>
    <mergeCell ref="D26:E26"/>
    <mergeCell ref="F26:G26"/>
    <mergeCell ref="C34:D36"/>
    <mergeCell ref="E34:G36"/>
    <mergeCell ref="A36:B36"/>
    <mergeCell ref="A27:B27"/>
    <mergeCell ref="C27:D27"/>
    <mergeCell ref="E27:G27"/>
    <mergeCell ref="C28:D30"/>
    <mergeCell ref="E28:G30"/>
    <mergeCell ref="C31:D33"/>
    <mergeCell ref="E31:G33"/>
  </mergeCells>
  <hyperlinks>
    <hyperlink ref="A39" r:id="rId1"/>
  </hyperlinks>
  <pageMargins left="0.62992125984251968" right="0.31496062992125984" top="0.51181102362204722" bottom="0.43307086614173229" header="0.51181102362204722" footer="0.51181102362204722"/>
  <pageSetup paperSize="9" scale="86" firstPageNumber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Patientenbeteiligung 2024</vt:lpstr>
      <vt:lpstr>GEKO</vt:lpstr>
      <vt:lpstr>Parameter</vt:lpstr>
      <vt:lpstr>internRG_Beleg</vt:lpstr>
      <vt:lpstr>GEKO!Druckbereich</vt:lpstr>
    </vt:vector>
  </TitlesOfParts>
  <Company>AIO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Baumgartner Michèle</dc:creator>
  <cp:lastModifiedBy>Baumgartner Michèle</cp:lastModifiedBy>
  <cp:lastPrinted>2024-02-19T07:33:12Z</cp:lastPrinted>
  <dcterms:created xsi:type="dcterms:W3CDTF">2024-02-15T06:51:11Z</dcterms:created>
  <dcterms:modified xsi:type="dcterms:W3CDTF">2024-02-19T07:33:29Z</dcterms:modified>
</cp:coreProperties>
</file>