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:\IGESA\26_Rechnungsprüfung\26.5_online-Kommunikation\2025 Spitex Dokumente für Webseite\Backup ohne Schutz\"/>
    </mc:Choice>
  </mc:AlternateContent>
  <xr:revisionPtr revIDLastSave="0" documentId="13_ncr:1_{5A4AB74C-E292-4FC4-BAFA-1BE6EC772F58}" xr6:coauthVersionLast="47" xr6:coauthVersionMax="47" xr10:uidLastSave="{00000000-0000-0000-0000-000000000000}"/>
  <workbookProtection workbookAlgorithmName="SHA-512" workbookHashValue="BRexhkRab0ULKWW+/8jE1S9Lnpwgt5eSv+/cWu0+no84IHR/a0UfvpADQxsQd7qT+wLuG9Xk0aE7uEvF2jy6aQ==" workbookSaltValue="solWW4PVzjUD9GBR1NTUCw==" workbookSpinCount="100000" lockStructure="1"/>
  <bookViews>
    <workbookView xWindow="28680" yWindow="-120" windowWidth="29040" windowHeight="15720" xr2:uid="{00000000-000D-0000-FFFF-FFFF00000000}"/>
  </bookViews>
  <sheets>
    <sheet name="Patientenbeteiligung 2025" sheetId="1" r:id="rId1"/>
    <sheet name="GEKO" sheetId="3" r:id="rId2"/>
    <sheet name="KWF Beleg" sheetId="6" r:id="rId3"/>
    <sheet name="Parameter" sheetId="2" state="hidden" r:id="rId4"/>
  </sheets>
  <definedNames>
    <definedName name="_xlnm.Print_Area" localSheetId="1">GEKO!$A$1:$X$36</definedName>
    <definedName name="_xlnm.Print_Area" localSheetId="2">'KWF Beleg'!$A$1:$E$28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6" l="1"/>
  <c r="B9" i="6"/>
  <c r="B8" i="6" l="1"/>
  <c r="B7" i="6"/>
  <c r="A20" i="3"/>
  <c r="B6" i="6"/>
  <c r="A20" i="6"/>
  <c r="F10" i="1"/>
  <c r="A11" i="6"/>
  <c r="E4" i="6"/>
  <c r="B4" i="6"/>
  <c r="C56" i="1"/>
  <c r="C57" i="1"/>
  <c r="L20" i="3" s="1"/>
  <c r="K20" i="3"/>
  <c r="J20" i="3"/>
  <c r="I20" i="3"/>
  <c r="H20" i="3"/>
  <c r="D3" i="3"/>
  <c r="B16" i="3"/>
  <c r="F20" i="3" s="1"/>
  <c r="D10" i="3"/>
  <c r="D9" i="3"/>
  <c r="B20" i="3" s="1"/>
  <c r="B14" i="3"/>
  <c r="B13" i="3"/>
  <c r="B12" i="3"/>
  <c r="B11" i="3"/>
  <c r="B10" i="3"/>
  <c r="B9" i="3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AF12" i="2"/>
  <c r="AF10" i="2"/>
  <c r="AF7" i="2"/>
  <c r="AF5" i="2"/>
  <c r="AF3" i="2"/>
  <c r="AE3" i="2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E43" i="1"/>
  <c r="F43" i="1"/>
  <c r="F42" i="1"/>
  <c r="E42" i="1"/>
  <c r="F41" i="1"/>
  <c r="E41" i="1"/>
  <c r="F40" i="1"/>
  <c r="E40" i="1"/>
  <c r="E39" i="1"/>
  <c r="F39" i="1"/>
  <c r="E38" i="1"/>
  <c r="F38" i="1"/>
  <c r="F37" i="1"/>
  <c r="E37" i="1"/>
  <c r="F36" i="1"/>
  <c r="E36" i="1"/>
  <c r="F35" i="1"/>
  <c r="E35" i="1"/>
  <c r="F34" i="1"/>
  <c r="E34" i="1"/>
  <c r="F33" i="1"/>
  <c r="E33" i="1"/>
  <c r="E32" i="1"/>
  <c r="F32" i="1"/>
  <c r="F31" i="1"/>
  <c r="E31" i="1"/>
  <c r="F30" i="1"/>
  <c r="E30" i="1"/>
  <c r="E29" i="1"/>
  <c r="F29" i="1"/>
  <c r="E28" i="1"/>
  <c r="F28" i="1"/>
  <c r="E27" i="1"/>
  <c r="F27" i="1"/>
  <c r="E26" i="1"/>
  <c r="F26" i="1"/>
  <c r="E25" i="1"/>
  <c r="F25" i="1"/>
  <c r="F55" i="1"/>
  <c r="E20" i="3"/>
  <c r="G20" i="3"/>
  <c r="D20" i="3" l="1"/>
  <c r="X36" i="3"/>
  <c r="C20" i="3"/>
  <c r="D56" i="1"/>
  <c r="E56" i="1" l="1"/>
  <c r="E19" i="6"/>
  <c r="E24" i="6" s="1"/>
  <c r="M20" i="3"/>
  <c r="X20" i="3" s="1"/>
  <c r="X21" i="3" s="1"/>
  <c r="F56" i="1"/>
</calcChain>
</file>

<file path=xl/sharedStrings.xml><?xml version="1.0" encoding="utf-8"?>
<sst xmlns="http://schemas.openxmlformats.org/spreadsheetml/2006/main" count="129" uniqueCount="111">
  <si>
    <t>Name und Vorname Patient/in:</t>
  </si>
  <si>
    <t>Geb.-Datum Patient/in:</t>
  </si>
  <si>
    <t>Abrechnungs-Monat:</t>
  </si>
  <si>
    <t>Kalendertag</t>
  </si>
  <si>
    <t>Pflegeleistung in Minuten</t>
  </si>
  <si>
    <t>Beitrag Patient/in
CHF</t>
  </si>
  <si>
    <t>Beitrag Kanton
CHF</t>
  </si>
  <si>
    <t>Leistungsabgeltung
CHF</t>
  </si>
  <si>
    <t xml:space="preserve">Total </t>
  </si>
  <si>
    <t>Patientenbeteiligung ambulante Pflege im Kanton Solothurn</t>
  </si>
  <si>
    <t>AHV-Nr der Patient/in:</t>
  </si>
  <si>
    <t>Firma</t>
  </si>
  <si>
    <t>ORGANISATIONS NAME</t>
  </si>
  <si>
    <t>Name</t>
  </si>
  <si>
    <t>NAME Verantwortliche Person</t>
  </si>
  <si>
    <t>Vorname</t>
  </si>
  <si>
    <t>VORNAME Verantwortliche Person</t>
  </si>
  <si>
    <t>ZSR-Nr.</t>
  </si>
  <si>
    <t>S111111</t>
  </si>
  <si>
    <t>GLN</t>
  </si>
  <si>
    <t>Strasse Nr.</t>
  </si>
  <si>
    <t>Pflegestr. 1</t>
  </si>
  <si>
    <t>PLZ</t>
  </si>
  <si>
    <t>4500</t>
  </si>
  <si>
    <t>Ort</t>
  </si>
  <si>
    <t>Solothurn</t>
  </si>
  <si>
    <t>Telefon</t>
  </si>
  <si>
    <t>032 / xxx xx xx</t>
  </si>
  <si>
    <t>E-Mail</t>
  </si>
  <si>
    <t>pflege@so.ch</t>
  </si>
  <si>
    <t>IBAN</t>
  </si>
  <si>
    <t>Aufstellung der Patientenbeteiligung (Übernahme durch Kanton gemäss Art. 144bis* Absatz 3, Sozialgesetz Kt. Solothurn)</t>
  </si>
  <si>
    <t>Monate</t>
  </si>
  <si>
    <t>Patientenbeteiligung</t>
  </si>
  <si>
    <t>Rechnungsperiode</t>
  </si>
  <si>
    <t>Stunden</t>
  </si>
  <si>
    <t>Stundensätze</t>
  </si>
  <si>
    <t>Beträge in CHF</t>
  </si>
  <si>
    <t>Leistungsart</t>
  </si>
  <si>
    <t>ZSR</t>
  </si>
  <si>
    <t>Leistungserbringer</t>
  </si>
  <si>
    <t>RG-Periode</t>
  </si>
  <si>
    <t>AHV</t>
  </si>
  <si>
    <t>PLZ_Wohnsitz</t>
  </si>
  <si>
    <t>Ort_Wohnsitz</t>
  </si>
  <si>
    <t>PLZ Pflegeort</t>
  </si>
  <si>
    <t>Ort_Pflege</t>
  </si>
  <si>
    <t xml:space="preserve"> Pflegetage</t>
  </si>
  <si>
    <t xml:space="preserve"> Patienten-Beteiligung</t>
  </si>
  <si>
    <t>KLV A Std.
Abklärung und Beratung</t>
  </si>
  <si>
    <t>KLV B Std.
Untersuchung und Behandlung</t>
  </si>
  <si>
    <t>KLV C Std.
Grundpflege</t>
  </si>
  <si>
    <t xml:space="preserve"> Total Pflegezeit</t>
  </si>
  <si>
    <t>KLV A
Abklärung und Beratung</t>
  </si>
  <si>
    <t>KLV A 
Abklärung und Beratung</t>
  </si>
  <si>
    <t>KLV C Grundpflege</t>
  </si>
  <si>
    <t>KLV B
Untersuchung und  Behandlung</t>
  </si>
  <si>
    <t>KLV C
Grundpflege</t>
  </si>
  <si>
    <t>Total</t>
  </si>
  <si>
    <t>Total Restkosten</t>
  </si>
  <si>
    <t>CHF</t>
  </si>
  <si>
    <t>Achtung !!  -  Es wurden evtl. nicht alle Gemeinden übertragen. -  Melden Sie sich bei der Clearingstelle.</t>
  </si>
  <si>
    <t xml:space="preserve">● nur die Erfassung von Kunden mit zivilrechtlichem Wohnsitz im Kanton Solothurn </t>
  </si>
  <si>
    <t>● nur die Erfassung von Pflegeleistungen nach KVG</t>
  </si>
  <si>
    <t xml:space="preserve">● nur die Erfassung von Pflegeleistungen gemäss KLV </t>
  </si>
  <si>
    <t>● die Übereinstimmung der Softwareprogrammierung / Leistungserfassung</t>
  </si>
  <si>
    <t xml:space="preserve">● die Abrechnung der Patientenbeteiligung </t>
  </si>
  <si>
    <t>Bitte fügen Sie der Email einen eingescannten Einzahlungsschein bei. Besten Dank.</t>
  </si>
  <si>
    <t>Sammelrechnung für Patientenbeteiligung bei Kindern</t>
  </si>
  <si>
    <t>Leistungserbringung bei Kindern</t>
  </si>
  <si>
    <t>Leistungserbringer / Rechnungssteller</t>
  </si>
  <si>
    <t>Wohnsitz</t>
  </si>
  <si>
    <t>Pflegeort</t>
  </si>
  <si>
    <t>Muster Tina</t>
  </si>
  <si>
    <t>Anzahl Pflegetage</t>
  </si>
  <si>
    <t>756.0000.0000.00</t>
  </si>
  <si>
    <t>7676767676767</t>
  </si>
  <si>
    <t>CH1111111111111111111</t>
  </si>
  <si>
    <t>Kontrolle:</t>
  </si>
  <si>
    <t>Datum:</t>
  </si>
  <si>
    <t>Visum:</t>
  </si>
  <si>
    <t>Kreditorenbeleg SAP</t>
  </si>
  <si>
    <t>Buchungskreis</t>
  </si>
  <si>
    <t>Rechnungsdatum</t>
  </si>
  <si>
    <t>Bankname, Ort</t>
  </si>
  <si>
    <t>ESR-Teilnehmer-Nr. oder QR-IBAN mit Referenz (Einzahlungsschein/QR-Zahlteil dazu legen)</t>
  </si>
  <si>
    <t>Kostenstelle / Auftrag</t>
  </si>
  <si>
    <t>Total Betrag</t>
  </si>
  <si>
    <r>
      <t xml:space="preserve">Bitte senden Sie diese Abrechnungsdatei (Excel) per Email an </t>
    </r>
    <r>
      <rPr>
        <b/>
        <u/>
        <sz val="11"/>
        <rFont val="Arial"/>
        <family val="2"/>
      </rPr>
      <t xml:space="preserve">restkosten-ambulant@ddi.so.ch </t>
    </r>
  </si>
  <si>
    <t>VIM-CH-AAxxxxxx</t>
  </si>
  <si>
    <t>Dienststelle</t>
  </si>
  <si>
    <t>Rechnungsnummer 
(max.16 Zeichen)</t>
  </si>
  <si>
    <t>Anford.-Referenz</t>
  </si>
  <si>
    <t>DDI, GESA, Clearingstelle ambulante Pflegeleistungen</t>
  </si>
  <si>
    <t>REF-025-IGSAABAJ</t>
  </si>
  <si>
    <r>
      <t xml:space="preserve">Kreditor / Empfänger </t>
    </r>
    <r>
      <rPr>
        <sz val="11"/>
        <rFont val="Frutiger 55 Roman"/>
      </rPr>
      <t>(Nachname / Vorname)</t>
    </r>
  </si>
  <si>
    <t>Kred.-IBAN-Nummer - QR-IBAN 
ohne Ref. oder Kred.-QR-IBAN 
mit SCOR-Ref.</t>
  </si>
  <si>
    <t>Zahlungsgrund  (max.50 Zeichen als Buchungstext möglich)</t>
  </si>
  <si>
    <t>Zahlungsbedingungen</t>
  </si>
  <si>
    <t>Kontierung / Kostenart (optional)</t>
  </si>
  <si>
    <t>PSP-Element</t>
  </si>
  <si>
    <t>Betrag</t>
  </si>
  <si>
    <r>
      <t xml:space="preserve">sachliches und rechnerisches Visum Leistungsempfänger
</t>
    </r>
    <r>
      <rPr>
        <sz val="11"/>
        <rFont val="Frutiger 55 Roman"/>
      </rPr>
      <t>Prüfer 1A, 1B, 1C</t>
    </r>
  </si>
  <si>
    <t>leer lassen</t>
  </si>
  <si>
    <t>wird im Workflow genehmigt</t>
  </si>
  <si>
    <r>
      <t xml:space="preserve">Visum gem. Kompetenzregelung Departement
</t>
    </r>
    <r>
      <rPr>
        <sz val="11"/>
        <rFont val="Frutiger 55 Roman"/>
      </rPr>
      <t xml:space="preserve">Freigabe komp. Stufe II, III, etc. </t>
    </r>
  </si>
  <si>
    <t>Version 1.0</t>
  </si>
  <si>
    <t>Kontoinhaber</t>
  </si>
  <si>
    <t>14 Tage netto</t>
  </si>
  <si>
    <t>K 2025 PB</t>
  </si>
  <si>
    <r>
      <t xml:space="preserve">Mit der Rechnungsstellung per Email an die Adresse </t>
    </r>
    <r>
      <rPr>
        <b/>
        <u/>
        <sz val="11"/>
        <rFont val="Arial"/>
        <family val="2"/>
      </rPr>
      <t>restkosten-ambulant@ddi.so.ch</t>
    </r>
    <r>
      <rPr>
        <b/>
        <sz val="11"/>
        <rFont val="Arial"/>
        <family val="2"/>
      </rPr>
      <t xml:space="preserve"> bestätigen Sie die Richtigkeit
der Abrechnung, insbesondere: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</si>
</sst>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mmmm\ yyyy"/>
    <numFmt numFmtId="165" formatCode="#,##0.0"/>
    <numFmt numFmtId="166" formatCode="dd/mm/yy"/>
    <numFmt numFmtId="167" formatCode="&quot; SFr. &quot;#,##0.00\ ;&quot; SFr. -&quot;#,##0.00\ ;&quot; SFr. -&quot;#\ ;@\ "/>
    <numFmt numFmtId="168" formatCode="000"/>
  </numFmts>
  <fonts count="2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9"/>
      <name val="Frutiger 55 Roman"/>
      <family val="2"/>
    </font>
    <font>
      <b/>
      <sz val="20"/>
      <name val="Frutiger 55 Roman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Frutiger 55 Roman"/>
      <family val="2"/>
    </font>
    <font>
      <sz val="11"/>
      <name val="Frutiger 55 Roman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3" fillId="0" borderId="0"/>
    <xf numFmtId="0" fontId="3" fillId="0" borderId="0"/>
    <xf numFmtId="167" fontId="3" fillId="0" borderId="0" applyFill="0" applyBorder="0" applyAlignment="0" applyProtection="0"/>
  </cellStyleXfs>
  <cellXfs count="154">
    <xf numFmtId="0" fontId="0" fillId="0" borderId="0" xfId="0"/>
    <xf numFmtId="164" fontId="0" fillId="0" borderId="0" xfId="0" applyNumberFormat="1"/>
    <xf numFmtId="14" fontId="0" fillId="0" borderId="0" xfId="0" applyNumberFormat="1"/>
    <xf numFmtId="49" fontId="15" fillId="2" borderId="0" xfId="0" applyNumberFormat="1" applyFont="1" applyFill="1" applyProtection="1">
      <protection locked="0"/>
    </xf>
    <xf numFmtId="49" fontId="12" fillId="2" borderId="0" xfId="2" applyNumberFormat="1" applyFill="1" applyAlignment="1" applyProtection="1">
      <protection locked="0"/>
    </xf>
    <xf numFmtId="164" fontId="4" fillId="2" borderId="1" xfId="0" applyNumberFormat="1" applyFont="1" applyFill="1" applyBorder="1" applyAlignment="1" applyProtection="1">
      <alignment vertical="center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" textRotation="90" wrapText="1"/>
    </xf>
    <xf numFmtId="0" fontId="20" fillId="2" borderId="1" xfId="4" applyFont="1" applyFill="1" applyBorder="1" applyAlignment="1">
      <alignment horizontal="center" textRotation="90"/>
    </xf>
    <xf numFmtId="0" fontId="20" fillId="2" borderId="1" xfId="4" applyFont="1" applyFill="1" applyBorder="1" applyAlignment="1">
      <alignment horizontal="center" textRotation="90" wrapText="1"/>
    </xf>
    <xf numFmtId="0" fontId="21" fillId="2" borderId="1" xfId="4" applyFont="1" applyFill="1" applyBorder="1" applyAlignment="1">
      <alignment horizontal="center" textRotation="90" wrapText="1"/>
    </xf>
    <xf numFmtId="0" fontId="17" fillId="0" borderId="1" xfId="0" quotePrefix="1" applyFont="1" applyBorder="1"/>
    <xf numFmtId="43" fontId="17" fillId="0" borderId="1" xfId="1" applyFont="1" applyBorder="1" applyProtection="1"/>
    <xf numFmtId="43" fontId="17" fillId="0" borderId="3" xfId="1" applyFont="1" applyBorder="1" applyProtection="1"/>
    <xf numFmtId="0" fontId="5" fillId="0" borderId="0" xfId="4" applyFont="1"/>
    <xf numFmtId="0" fontId="22" fillId="0" borderId="0" xfId="0" applyFont="1"/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/>
      <protection locked="0"/>
    </xf>
    <xf numFmtId="3" fontId="17" fillId="0" borderId="1" xfId="0" quotePrefix="1" applyNumberFormat="1" applyFont="1" applyBorder="1"/>
    <xf numFmtId="4" fontId="17" fillId="0" borderId="1" xfId="0" quotePrefix="1" applyNumberFormat="1" applyFont="1" applyBorder="1"/>
    <xf numFmtId="0" fontId="8" fillId="0" borderId="0" xfId="3" applyFont="1"/>
    <xf numFmtId="0" fontId="10" fillId="0" borderId="0" xfId="4" applyFont="1"/>
    <xf numFmtId="0" fontId="10" fillId="0" borderId="0" xfId="3" applyFont="1" applyAlignment="1">
      <alignment horizontal="left"/>
    </xf>
    <xf numFmtId="0" fontId="10" fillId="0" borderId="0" xfId="3" applyFont="1" applyAlignment="1">
      <alignment wrapText="1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vertical="center"/>
    </xf>
    <xf numFmtId="0" fontId="10" fillId="0" borderId="0" xfId="3" applyFont="1" applyAlignment="1">
      <alignment horizontal="right" indent="1"/>
    </xf>
    <xf numFmtId="0" fontId="23" fillId="2" borderId="18" xfId="0" applyFont="1" applyFill="1" applyBorder="1" applyAlignment="1">
      <alignment vertical="center"/>
    </xf>
    <xf numFmtId="0" fontId="23" fillId="2" borderId="19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23" fillId="2" borderId="19" xfId="0" applyFont="1" applyFill="1" applyBorder="1" applyAlignment="1">
      <alignment horizontal="right" vertical="center"/>
    </xf>
    <xf numFmtId="2" fontId="23" fillId="2" borderId="20" xfId="0" applyNumberFormat="1" applyFont="1" applyFill="1" applyBorder="1" applyAlignment="1">
      <alignment vertical="center"/>
    </xf>
    <xf numFmtId="0" fontId="23" fillId="0" borderId="0" xfId="0" applyFont="1"/>
    <xf numFmtId="0" fontId="0" fillId="0" borderId="0" xfId="0" applyAlignment="1">
      <alignment horizontal="center"/>
    </xf>
    <xf numFmtId="49" fontId="23" fillId="2" borderId="0" xfId="0" applyNumberFormat="1" applyFont="1" applyFill="1" applyAlignment="1">
      <alignment horizontal="left" indent="1"/>
    </xf>
    <xf numFmtId="49" fontId="0" fillId="0" borderId="0" xfId="0" applyNumberFormat="1" applyAlignment="1">
      <alignment horizontal="left" indent="1"/>
    </xf>
    <xf numFmtId="49" fontId="23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vertical="center" wrapText="1"/>
    </xf>
    <xf numFmtId="14" fontId="23" fillId="2" borderId="0" xfId="0" applyNumberFormat="1" applyFont="1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14" fontId="17" fillId="0" borderId="1" xfId="0" quotePrefix="1" applyNumberFormat="1" applyFont="1" applyBorder="1"/>
    <xf numFmtId="0" fontId="25" fillId="0" borderId="15" xfId="0" applyFont="1" applyBorder="1" applyAlignment="1" applyProtection="1">
      <alignment horizontal="left" vertical="center" indent="1"/>
      <protection locked="0"/>
    </xf>
    <xf numFmtId="4" fontId="25" fillId="0" borderId="11" xfId="5" applyNumberFormat="1" applyFont="1" applyFill="1" applyBorder="1" applyAlignment="1" applyProtection="1">
      <alignment horizontal="right" vertical="center"/>
    </xf>
    <xf numFmtId="0" fontId="23" fillId="0" borderId="0" xfId="0" applyFont="1" applyAlignment="1">
      <alignment horizontal="left"/>
    </xf>
    <xf numFmtId="0" fontId="0" fillId="0" borderId="0" xfId="0"/>
    <xf numFmtId="0" fontId="19" fillId="3" borderId="0" xfId="0" applyFont="1" applyFill="1" applyAlignment="1">
      <alignment horizontal="left" vertical="center" wrapText="1"/>
    </xf>
    <xf numFmtId="49" fontId="23" fillId="2" borderId="0" xfId="0" applyNumberFormat="1" applyFont="1" applyFill="1" applyAlignment="1">
      <alignment horizontal="left"/>
    </xf>
    <xf numFmtId="0" fontId="23" fillId="0" borderId="0" xfId="0" applyFont="1"/>
    <xf numFmtId="0" fontId="10" fillId="2" borderId="0" xfId="3" applyFont="1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2" borderId="1" xfId="4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8" fillId="0" borderId="0" xfId="3" applyFont="1" applyAlignment="1">
      <alignment horizontal="left" wrapText="1"/>
    </xf>
    <xf numFmtId="0" fontId="10" fillId="0" borderId="0" xfId="3" applyFont="1" applyAlignment="1">
      <alignment horizontal="left" wrapText="1" indent="1"/>
    </xf>
    <xf numFmtId="0" fontId="7" fillId="0" borderId="6" xfId="0" applyFont="1" applyBorder="1" applyAlignment="1" applyProtection="1">
      <alignment horizontal="left" vertical="top" indent="1"/>
    </xf>
    <xf numFmtId="0" fontId="7" fillId="0" borderId="25" xfId="0" applyFont="1" applyBorder="1" applyAlignment="1" applyProtection="1">
      <alignment vertical="top"/>
    </xf>
    <xf numFmtId="0" fontId="6" fillId="4" borderId="1" xfId="0" applyFont="1" applyFill="1" applyBorder="1" applyAlignment="1" applyProtection="1">
      <alignment horizontal="right" vertical="center"/>
    </xf>
    <xf numFmtId="0" fontId="0" fillId="0" borderId="1" xfId="0" applyBorder="1" applyAlignment="1" applyProtection="1">
      <alignment horizontal="right"/>
    </xf>
    <xf numFmtId="0" fontId="0" fillId="0" borderId="0" xfId="0" applyProtection="1"/>
    <xf numFmtId="0" fontId="7" fillId="0" borderId="10" xfId="0" applyFont="1" applyBorder="1" applyAlignment="1" applyProtection="1">
      <alignment vertical="top"/>
    </xf>
    <xf numFmtId="0" fontId="7" fillId="0" borderId="23" xfId="0" applyFont="1" applyBorder="1" applyAlignment="1" applyProtection="1">
      <alignment vertical="top"/>
    </xf>
    <xf numFmtId="0" fontId="7" fillId="0" borderId="1" xfId="0" applyFont="1" applyBorder="1" applyAlignment="1" applyProtection="1">
      <alignment vertical="top"/>
    </xf>
    <xf numFmtId="0" fontId="0" fillId="0" borderId="1" xfId="0" applyBorder="1" applyProtection="1"/>
    <xf numFmtId="0" fontId="25" fillId="4" borderId="12" xfId="0" applyFont="1" applyFill="1" applyBorder="1" applyAlignment="1" applyProtection="1">
      <alignment horizontal="left" vertical="center" indent="1"/>
    </xf>
    <xf numFmtId="0" fontId="25" fillId="4" borderId="16" xfId="0" applyFont="1" applyFill="1" applyBorder="1" applyAlignment="1" applyProtection="1">
      <alignment horizontal="left" vertical="center" wrapText="1" indent="1"/>
    </xf>
    <xf numFmtId="0" fontId="25" fillId="4" borderId="10" xfId="0" applyFont="1" applyFill="1" applyBorder="1" applyAlignment="1" applyProtection="1">
      <alignment horizontal="left" vertical="center" wrapText="1" indent="1"/>
    </xf>
    <xf numFmtId="0" fontId="25" fillId="4" borderId="26" xfId="0" applyFont="1" applyFill="1" applyBorder="1" applyAlignment="1" applyProtection="1">
      <alignment horizontal="left" vertical="center" wrapText="1" indent="1"/>
    </xf>
    <xf numFmtId="0" fontId="25" fillId="4" borderId="11" xfId="0" applyFont="1" applyFill="1" applyBorder="1" applyAlignment="1" applyProtection="1">
      <alignment horizontal="left" vertical="center" indent="1"/>
    </xf>
    <xf numFmtId="0" fontId="25" fillId="0" borderId="12" xfId="0" applyFont="1" applyBorder="1" applyAlignment="1" applyProtection="1">
      <alignment horizontal="left" vertical="center" indent="1"/>
    </xf>
    <xf numFmtId="0" fontId="25" fillId="0" borderId="15" xfId="0" applyFont="1" applyBorder="1" applyAlignment="1" applyProtection="1">
      <alignment horizontal="left" vertical="center" indent="1"/>
    </xf>
    <xf numFmtId="0" fontId="25" fillId="0" borderId="23" xfId="0" applyFont="1" applyBorder="1" applyAlignment="1" applyProtection="1">
      <alignment horizontal="left" vertical="center" indent="1"/>
    </xf>
    <xf numFmtId="14" fontId="25" fillId="0" borderId="9" xfId="0" applyNumberFormat="1" applyFont="1" applyBorder="1" applyAlignment="1" applyProtection="1">
      <alignment horizontal="left" vertical="center" indent="1"/>
    </xf>
    <xf numFmtId="0" fontId="25" fillId="4" borderId="15" xfId="0" applyFont="1" applyFill="1" applyBorder="1" applyAlignment="1" applyProtection="1">
      <alignment horizontal="left" vertical="center" indent="1"/>
    </xf>
    <xf numFmtId="0" fontId="10" fillId="0" borderId="16" xfId="0" applyFont="1" applyBorder="1" applyAlignment="1" applyProtection="1">
      <alignment horizontal="left" vertical="center" indent="1"/>
    </xf>
    <xf numFmtId="0" fontId="10" fillId="0" borderId="17" xfId="0" applyFont="1" applyBorder="1" applyAlignment="1" applyProtection="1">
      <alignment horizontal="left" vertical="center" indent="1"/>
    </xf>
    <xf numFmtId="168" fontId="25" fillId="0" borderId="24" xfId="0" applyNumberFormat="1" applyFont="1" applyBorder="1" applyAlignment="1" applyProtection="1">
      <alignment horizontal="left" vertical="center" indent="1"/>
    </xf>
    <xf numFmtId="49" fontId="25" fillId="0" borderId="8" xfId="0" applyNumberFormat="1" applyFont="1" applyBorder="1" applyAlignment="1" applyProtection="1">
      <alignment horizontal="left" vertical="center" indent="1"/>
    </xf>
    <xf numFmtId="0" fontId="10" fillId="0" borderId="0" xfId="0" applyFont="1" applyAlignment="1" applyProtection="1">
      <alignment horizontal="left" vertical="center" indent="1"/>
    </xf>
    <xf numFmtId="0" fontId="10" fillId="0" borderId="9" xfId="0" applyFont="1" applyBorder="1" applyAlignment="1" applyProtection="1">
      <alignment horizontal="left" vertical="center" indent="1"/>
    </xf>
    <xf numFmtId="168" fontId="0" fillId="0" borderId="14" xfId="0" applyNumberFormat="1" applyBorder="1" applyAlignment="1" applyProtection="1">
      <alignment horizontal="left" vertical="center" indent="1"/>
    </xf>
    <xf numFmtId="0" fontId="25" fillId="0" borderId="8" xfId="0" applyFont="1" applyBorder="1" applyAlignment="1" applyProtection="1">
      <alignment horizontal="left" vertical="center" indent="1"/>
    </xf>
    <xf numFmtId="168" fontId="0" fillId="0" borderId="13" xfId="0" applyNumberFormat="1" applyBorder="1" applyAlignment="1" applyProtection="1">
      <alignment horizontal="left" vertical="center" indent="1"/>
    </xf>
    <xf numFmtId="0" fontId="25" fillId="5" borderId="12" xfId="0" applyFont="1" applyFill="1" applyBorder="1" applyAlignment="1" applyProtection="1">
      <alignment horizontal="left" vertical="center" wrapText="1" indent="1"/>
    </xf>
    <xf numFmtId="49" fontId="25" fillId="0" borderId="12" xfId="0" applyNumberFormat="1" applyFont="1" applyBorder="1" applyAlignment="1" applyProtection="1">
      <alignment horizontal="left" vertical="center" indent="1"/>
    </xf>
    <xf numFmtId="11" fontId="25" fillId="0" borderId="6" xfId="0" applyNumberFormat="1" applyFont="1" applyBorder="1" applyAlignment="1" applyProtection="1">
      <alignment horizontal="left" vertical="center" wrapText="1" indent="1"/>
    </xf>
    <xf numFmtId="0" fontId="0" fillId="0" borderId="25" xfId="0" applyBorder="1" applyAlignment="1" applyProtection="1">
      <alignment horizontal="left" vertical="center" wrapText="1" indent="1"/>
    </xf>
    <xf numFmtId="0" fontId="0" fillId="0" borderId="7" xfId="0" applyBorder="1" applyAlignment="1" applyProtection="1">
      <alignment horizontal="left" vertical="center" wrapText="1" indent="1"/>
    </xf>
    <xf numFmtId="0" fontId="10" fillId="0" borderId="8" xfId="0" applyFont="1" applyBorder="1" applyAlignment="1" applyProtection="1">
      <alignment horizontal="left" vertical="top" wrapText="1" indent="1"/>
    </xf>
    <xf numFmtId="0" fontId="0" fillId="0" borderId="0" xfId="0" applyAlignment="1" applyProtection="1">
      <alignment horizontal="left" vertical="top" wrapText="1" indent="1"/>
    </xf>
    <xf numFmtId="0" fontId="0" fillId="0" borderId="9" xfId="0" applyBorder="1" applyAlignment="1" applyProtection="1">
      <alignment horizontal="left" vertical="top" wrapText="1" indent="1"/>
    </xf>
    <xf numFmtId="0" fontId="25" fillId="0" borderId="12" xfId="0" applyFont="1" applyBorder="1" applyAlignment="1" applyProtection="1">
      <alignment horizontal="left" vertical="center" wrapText="1" indent="1"/>
    </xf>
    <xf numFmtId="0" fontId="0" fillId="0" borderId="8" xfId="0" applyBorder="1" applyAlignment="1" applyProtection="1">
      <alignment horizontal="left" vertical="top" wrapText="1" indent="1"/>
    </xf>
    <xf numFmtId="0" fontId="25" fillId="0" borderId="12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left" vertical="top" wrapText="1" indent="1"/>
    </xf>
    <xf numFmtId="0" fontId="0" fillId="0" borderId="23" xfId="0" applyBorder="1" applyAlignment="1" applyProtection="1">
      <alignment horizontal="left" vertical="top" wrapText="1" indent="1"/>
    </xf>
    <xf numFmtId="0" fontId="0" fillId="0" borderId="11" xfId="0" applyBorder="1" applyAlignment="1" applyProtection="1">
      <alignment horizontal="left" vertical="top" wrapText="1" indent="1"/>
    </xf>
    <xf numFmtId="0" fontId="25" fillId="4" borderId="17" xfId="0" applyFont="1" applyFill="1" applyBorder="1" applyAlignment="1" applyProtection="1">
      <alignment horizontal="left" vertical="center" indent="1"/>
    </xf>
    <xf numFmtId="0" fontId="25" fillId="4" borderId="15" xfId="0" applyFont="1" applyFill="1" applyBorder="1" applyAlignment="1" applyProtection="1">
      <alignment horizontal="left" vertical="center" indent="1"/>
    </xf>
    <xf numFmtId="0" fontId="25" fillId="4" borderId="17" xfId="0" applyFont="1" applyFill="1" applyBorder="1" applyAlignment="1" applyProtection="1">
      <alignment horizontal="right" vertical="center"/>
    </xf>
    <xf numFmtId="0" fontId="25" fillId="0" borderId="24" xfId="0" applyFont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horizontal="center" vertical="center"/>
    </xf>
    <xf numFmtId="4" fontId="25" fillId="0" borderId="7" xfId="5" applyNumberFormat="1" applyFont="1" applyFill="1" applyBorder="1" applyAlignment="1" applyProtection="1">
      <alignment horizontal="right" vertical="center"/>
    </xf>
    <xf numFmtId="0" fontId="25" fillId="0" borderId="15" xfId="0" applyFont="1" applyBorder="1" applyAlignment="1" applyProtection="1">
      <alignment horizontal="center" vertical="center"/>
    </xf>
    <xf numFmtId="4" fontId="25" fillId="0" borderId="17" xfId="5" applyNumberFormat="1" applyFont="1" applyFill="1" applyBorder="1" applyAlignment="1" applyProtection="1">
      <alignment horizontal="right" vertical="center"/>
    </xf>
    <xf numFmtId="0" fontId="25" fillId="0" borderId="13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25" fillId="4" borderId="15" xfId="0" applyFont="1" applyFill="1" applyBorder="1" applyAlignment="1" applyProtection="1">
      <alignment horizontal="left" vertical="center"/>
    </xf>
    <xf numFmtId="0" fontId="0" fillId="0" borderId="17" xfId="0" applyBorder="1" applyAlignment="1" applyProtection="1">
      <alignment vertical="center"/>
    </xf>
    <xf numFmtId="0" fontId="25" fillId="0" borderId="15" xfId="0" applyFont="1" applyBorder="1" applyAlignment="1" applyProtection="1">
      <alignment vertical="center"/>
    </xf>
    <xf numFmtId="0" fontId="25" fillId="4" borderId="17" xfId="0" applyFont="1" applyFill="1" applyBorder="1" applyAlignment="1" applyProtection="1">
      <alignment horizontal="center" vertical="center"/>
    </xf>
    <xf numFmtId="0" fontId="25" fillId="4" borderId="15" xfId="0" applyFont="1" applyFill="1" applyBorder="1" applyAlignment="1" applyProtection="1">
      <alignment horizontal="center" vertical="center"/>
    </xf>
    <xf numFmtId="0" fontId="25" fillId="4" borderId="16" xfId="0" applyFont="1" applyFill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166" fontId="25" fillId="0" borderId="17" xfId="0" applyNumberFormat="1" applyFont="1" applyBorder="1" applyAlignment="1" applyProtection="1">
      <alignment horizontal="center" vertical="center"/>
    </xf>
    <xf numFmtId="0" fontId="25" fillId="0" borderId="15" xfId="0" applyFont="1" applyBorder="1" applyAlignment="1" applyProtection="1">
      <alignment horizontal="center" vertical="center"/>
    </xf>
    <xf numFmtId="0" fontId="25" fillId="0" borderId="1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right" wrapText="1"/>
    </xf>
    <xf numFmtId="0" fontId="0" fillId="0" borderId="0" xfId="0" applyAlignment="1" applyProtection="1">
      <alignment wrapText="1"/>
    </xf>
    <xf numFmtId="0" fontId="2" fillId="0" borderId="0" xfId="0" applyFont="1" applyAlignment="1" applyProtection="1">
      <alignment horizontal="left" wrapText="1"/>
    </xf>
    <xf numFmtId="0" fontId="15" fillId="0" borderId="0" xfId="0" applyFont="1" applyProtection="1"/>
    <xf numFmtId="49" fontId="15" fillId="2" borderId="0" xfId="0" applyNumberFormat="1" applyFont="1" applyFill="1" applyProtection="1"/>
    <xf numFmtId="0" fontId="0" fillId="0" borderId="0" xfId="0" applyAlignment="1" applyProtection="1">
      <alignment vertical="top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left" vertical="top" wrapText="1"/>
    </xf>
    <xf numFmtId="0" fontId="3" fillId="0" borderId="21" xfId="0" applyFont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vertical="top"/>
    </xf>
    <xf numFmtId="14" fontId="3" fillId="0" borderId="0" xfId="0" applyNumberFormat="1" applyFont="1" applyProtection="1"/>
    <xf numFmtId="0" fontId="3" fillId="0" borderId="0" xfId="0" applyFont="1" applyProtection="1"/>
    <xf numFmtId="0" fontId="4" fillId="0" borderId="0" xfId="0" applyFont="1" applyProtection="1"/>
    <xf numFmtId="0" fontId="3" fillId="0" borderId="1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horizontal="center" vertical="center"/>
    </xf>
    <xf numFmtId="4" fontId="13" fillId="0" borderId="2" xfId="0" applyNumberFormat="1" applyFont="1" applyBorder="1" applyAlignment="1" applyProtection="1">
      <alignment horizontal="center" vertical="center"/>
    </xf>
    <xf numFmtId="4" fontId="13" fillId="0" borderId="0" xfId="0" applyNumberFormat="1" applyFont="1" applyAlignment="1" applyProtection="1">
      <alignment horizontal="center" vertical="center"/>
    </xf>
    <xf numFmtId="165" fontId="4" fillId="0" borderId="1" xfId="0" applyNumberFormat="1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/>
    </xf>
    <xf numFmtId="4" fontId="4" fillId="0" borderId="1" xfId="0" applyNumberFormat="1" applyFont="1" applyBorder="1" applyAlignment="1" applyProtection="1">
      <alignment horizontal="center"/>
    </xf>
    <xf numFmtId="4" fontId="14" fillId="0" borderId="2" xfId="0" applyNumberFormat="1" applyFont="1" applyBorder="1" applyAlignment="1" applyProtection="1">
      <alignment horizontal="center"/>
    </xf>
    <xf numFmtId="4" fontId="14" fillId="0" borderId="0" xfId="0" applyNumberFormat="1" applyFont="1" applyAlignment="1" applyProtection="1">
      <alignment horizontal="center"/>
    </xf>
    <xf numFmtId="49" fontId="4" fillId="2" borderId="5" xfId="0" applyNumberFormat="1" applyFont="1" applyFill="1" applyBorder="1" applyAlignment="1" applyProtection="1">
      <alignment vertical="center"/>
    </xf>
    <xf numFmtId="49" fontId="4" fillId="2" borderId="4" xfId="0" applyNumberFormat="1" applyFont="1" applyFill="1" applyBorder="1" applyAlignment="1" applyProtection="1">
      <alignment vertical="center"/>
      <protection locked="0"/>
    </xf>
  </cellXfs>
  <cellStyles count="6">
    <cellStyle name="Komma" xfId="1" builtinId="3"/>
    <cellStyle name="Link" xfId="2" builtinId="8"/>
    <cellStyle name="Normal 2" xfId="3" xr:uid="{00000000-0005-0000-0000-000002000000}"/>
    <cellStyle name="Standard" xfId="0" builtinId="0"/>
    <cellStyle name="Standard 2" xfId="4" xr:uid="{00000000-0005-0000-0000-000004000000}"/>
    <cellStyle name="Währung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flege@so.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7"/>
  <sheetViews>
    <sheetView tabSelected="1" workbookViewId="0">
      <selection activeCell="C5" sqref="C5"/>
    </sheetView>
  </sheetViews>
  <sheetFormatPr baseColWidth="10" defaultRowHeight="15" x14ac:dyDescent="0.25"/>
  <cols>
    <col min="1" max="1" width="2.28515625" style="67" customWidth="1"/>
    <col min="2" max="5" width="20.5703125" style="67" customWidth="1"/>
    <col min="6" max="6" width="28.140625" style="67" bestFit="1" customWidth="1"/>
    <col min="7" max="7" width="1.28515625" style="67" customWidth="1"/>
    <col min="8" max="16384" width="11.42578125" style="67"/>
  </cols>
  <sheetData>
    <row r="1" spans="2:7" ht="42" customHeight="1" x14ac:dyDescent="0.25"/>
    <row r="2" spans="2:7" ht="18" customHeight="1" x14ac:dyDescent="0.25">
      <c r="B2" s="125" t="s">
        <v>9</v>
      </c>
      <c r="C2" s="125"/>
      <c r="D2" s="125"/>
      <c r="E2" s="125"/>
      <c r="F2" s="126" t="s">
        <v>109</v>
      </c>
      <c r="G2" s="127"/>
    </row>
    <row r="3" spans="2:7" x14ac:dyDescent="0.25">
      <c r="B3" s="128"/>
      <c r="C3" s="128"/>
      <c r="D3" s="128"/>
      <c r="E3" s="128"/>
      <c r="F3" s="67" t="s">
        <v>106</v>
      </c>
    </row>
    <row r="5" spans="2:7" ht="15.75" x14ac:dyDescent="0.25">
      <c r="B5" s="129" t="s">
        <v>11</v>
      </c>
      <c r="C5" s="3" t="s">
        <v>12</v>
      </c>
      <c r="D5" s="130"/>
      <c r="E5" s="129" t="s">
        <v>20</v>
      </c>
      <c r="F5" s="3" t="s">
        <v>21</v>
      </c>
    </row>
    <row r="6" spans="2:7" ht="15.75" x14ac:dyDescent="0.25">
      <c r="B6" s="129" t="s">
        <v>13</v>
      </c>
      <c r="C6" s="3" t="s">
        <v>14</v>
      </c>
      <c r="D6" s="130"/>
      <c r="E6" s="129" t="s">
        <v>22</v>
      </c>
      <c r="F6" s="3" t="s">
        <v>23</v>
      </c>
    </row>
    <row r="7" spans="2:7" ht="15.75" x14ac:dyDescent="0.25">
      <c r="B7" s="129" t="s">
        <v>15</v>
      </c>
      <c r="C7" s="3" t="s">
        <v>16</v>
      </c>
      <c r="D7" s="130"/>
      <c r="E7" s="129" t="s">
        <v>24</v>
      </c>
      <c r="F7" s="3" t="s">
        <v>25</v>
      </c>
    </row>
    <row r="8" spans="2:7" ht="15.75" x14ac:dyDescent="0.25">
      <c r="B8" s="129" t="s">
        <v>17</v>
      </c>
      <c r="C8" s="3" t="s">
        <v>18</v>
      </c>
      <c r="D8" s="130"/>
      <c r="E8" s="129" t="s">
        <v>26</v>
      </c>
      <c r="F8" s="3" t="s">
        <v>27</v>
      </c>
    </row>
    <row r="9" spans="2:7" ht="15.75" x14ac:dyDescent="0.25">
      <c r="B9" s="129" t="s">
        <v>19</v>
      </c>
      <c r="C9" s="3" t="s">
        <v>76</v>
      </c>
      <c r="D9" s="130"/>
      <c r="E9" s="129" t="s">
        <v>28</v>
      </c>
      <c r="F9" s="4" t="s">
        <v>29</v>
      </c>
    </row>
    <row r="10" spans="2:7" ht="15.75" x14ac:dyDescent="0.25">
      <c r="B10" s="129"/>
      <c r="C10" s="129"/>
      <c r="D10" s="129"/>
      <c r="E10" s="129" t="s">
        <v>107</v>
      </c>
      <c r="F10" s="3" t="str">
        <f>+C5</f>
        <v>ORGANISATIONS NAME</v>
      </c>
    </row>
    <row r="11" spans="2:7" ht="15.75" x14ac:dyDescent="0.25">
      <c r="B11" s="131"/>
      <c r="C11" s="131"/>
      <c r="D11" s="132"/>
      <c r="E11" s="129" t="s">
        <v>30</v>
      </c>
      <c r="F11" s="3" t="s">
        <v>77</v>
      </c>
    </row>
    <row r="13" spans="2:7" ht="15" customHeight="1" x14ac:dyDescent="0.25">
      <c r="B13" s="133" t="s">
        <v>0</v>
      </c>
      <c r="C13" s="134"/>
      <c r="D13" s="153" t="s">
        <v>73</v>
      </c>
      <c r="E13" s="152"/>
    </row>
    <row r="14" spans="2:7" ht="15" customHeight="1" x14ac:dyDescent="0.25">
      <c r="B14" s="133" t="s">
        <v>10</v>
      </c>
      <c r="C14" s="134"/>
      <c r="D14" s="153" t="s">
        <v>75</v>
      </c>
      <c r="E14" s="152"/>
    </row>
    <row r="15" spans="2:7" ht="15" customHeight="1" x14ac:dyDescent="0.25">
      <c r="B15" s="135" t="s">
        <v>71</v>
      </c>
      <c r="C15" s="135"/>
      <c r="D15" s="22" t="s">
        <v>23</v>
      </c>
      <c r="E15" s="23" t="s">
        <v>71</v>
      </c>
    </row>
    <row r="16" spans="2:7" ht="15" customHeight="1" x14ac:dyDescent="0.25">
      <c r="B16" s="135" t="s">
        <v>72</v>
      </c>
      <c r="C16" s="135"/>
      <c r="D16" s="22" t="s">
        <v>23</v>
      </c>
      <c r="E16" s="23" t="s">
        <v>72</v>
      </c>
    </row>
    <row r="17" spans="2:7" x14ac:dyDescent="0.25">
      <c r="B17" s="136"/>
      <c r="C17" s="137"/>
      <c r="D17" s="137"/>
      <c r="E17" s="137"/>
    </row>
    <row r="18" spans="2:7" ht="15" customHeight="1" x14ac:dyDescent="0.25">
      <c r="B18" s="133" t="s">
        <v>1</v>
      </c>
      <c r="C18" s="134"/>
      <c r="D18" s="47">
        <v>43831</v>
      </c>
      <c r="E18" s="137"/>
      <c r="F18" s="137"/>
      <c r="G18" s="138"/>
    </row>
    <row r="19" spans="2:7" x14ac:dyDescent="0.25">
      <c r="B19" s="131"/>
      <c r="C19" s="131"/>
      <c r="D19" s="132"/>
      <c r="E19" s="132"/>
    </row>
    <row r="20" spans="2:7" x14ac:dyDescent="0.25">
      <c r="B20" s="133" t="s">
        <v>2</v>
      </c>
      <c r="C20" s="134"/>
      <c r="D20" s="5">
        <v>45658</v>
      </c>
      <c r="F20" s="138"/>
    </row>
    <row r="22" spans="2:7" x14ac:dyDescent="0.25">
      <c r="B22" s="139" t="s">
        <v>31</v>
      </c>
      <c r="C22" s="139"/>
    </row>
    <row r="24" spans="2:7" ht="25.5" x14ac:dyDescent="0.25">
      <c r="B24" s="140" t="s">
        <v>3</v>
      </c>
      <c r="C24" s="140" t="s">
        <v>4</v>
      </c>
      <c r="D24" s="140" t="s">
        <v>5</v>
      </c>
      <c r="E24" s="141" t="s">
        <v>6</v>
      </c>
      <c r="F24" s="142" t="s">
        <v>7</v>
      </c>
    </row>
    <row r="25" spans="2:7" x14ac:dyDescent="0.25">
      <c r="B25" s="143">
        <f>+IF($D$20="","",(VLOOKUP($D$20,Parameter!A:AF,2,0)))</f>
        <v>45658</v>
      </c>
      <c r="C25" s="6"/>
      <c r="D25" s="144" t="str">
        <f>IF(C25="","",IF(C25&gt;60,Parameter!$A$22,ROUND((C25/60*Parameter!$A$22)/5,2)*5))</f>
        <v/>
      </c>
      <c r="E25" s="145" t="str">
        <f>IF(C25="","",MROUND((C25/60*$K$21),0.05)-D25)</f>
        <v/>
      </c>
      <c r="F25" s="146" t="str">
        <f>IF(C25="","",SUM(D25:E25))</f>
        <v/>
      </c>
    </row>
    <row r="26" spans="2:7" x14ac:dyDescent="0.25">
      <c r="B26" s="143">
        <f>+IF($D$20="","",(VLOOKUP($D$20,Parameter!A:AF,3,0)))</f>
        <v>45659</v>
      </c>
      <c r="C26" s="6"/>
      <c r="D26" s="144" t="str">
        <f>IF(C26="","",IF(C26&gt;60,Parameter!$A$22,ROUND((C26/60*Parameter!$A$22)/5,2)*5))</f>
        <v/>
      </c>
      <c r="E26" s="145" t="str">
        <f t="shared" ref="E26:E55" si="0">IF(C26="","",MROUND((C26/60*$K$21),0.05)-D26)</f>
        <v/>
      </c>
      <c r="F26" s="146" t="str">
        <f t="shared" ref="F26:F54" si="1">IF(C26="","",SUM(D26:E26))</f>
        <v/>
      </c>
    </row>
    <row r="27" spans="2:7" x14ac:dyDescent="0.25">
      <c r="B27" s="143">
        <f>+IF($D$20="","",(VLOOKUP($D$20,Parameter!A:AF,4,0)))</f>
        <v>45660</v>
      </c>
      <c r="C27" s="6"/>
      <c r="D27" s="144" t="str">
        <f>IF(C27="","",IF(C27&gt;60,Parameter!$A$22,ROUND((C27/60*Parameter!$A$22)/5,2)*5))</f>
        <v/>
      </c>
      <c r="E27" s="145" t="str">
        <f t="shared" si="0"/>
        <v/>
      </c>
      <c r="F27" s="146" t="str">
        <f t="shared" si="1"/>
        <v/>
      </c>
    </row>
    <row r="28" spans="2:7" x14ac:dyDescent="0.25">
      <c r="B28" s="143">
        <f>+IF($D$20="","",(VLOOKUP($D$20,Parameter!A:AF,5,0)))</f>
        <v>45661</v>
      </c>
      <c r="C28" s="6"/>
      <c r="D28" s="144" t="str">
        <f>IF(C28="","",IF(C28&gt;60,Parameter!$A$22,ROUND((C28/60*Parameter!$A$22)/5,2)*5))</f>
        <v/>
      </c>
      <c r="E28" s="145" t="str">
        <f t="shared" si="0"/>
        <v/>
      </c>
      <c r="F28" s="146" t="str">
        <f t="shared" si="1"/>
        <v/>
      </c>
    </row>
    <row r="29" spans="2:7" x14ac:dyDescent="0.25">
      <c r="B29" s="143">
        <f>+IF($D$20="","",(VLOOKUP($D$20,Parameter!A:AF,6,0)))</f>
        <v>45662</v>
      </c>
      <c r="C29" s="6"/>
      <c r="D29" s="144" t="str">
        <f>IF(C29="","",IF(C29&gt;60,Parameter!$A$22,ROUND((C29/60*Parameter!$A$22)/5,2)*5))</f>
        <v/>
      </c>
      <c r="E29" s="145" t="str">
        <f t="shared" si="0"/>
        <v/>
      </c>
      <c r="F29" s="146" t="str">
        <f t="shared" si="1"/>
        <v/>
      </c>
    </row>
    <row r="30" spans="2:7" x14ac:dyDescent="0.25">
      <c r="B30" s="143">
        <f>+IF($D$20="","",(VLOOKUP($D$20,Parameter!A:AF,7,0)))</f>
        <v>45663</v>
      </c>
      <c r="C30" s="6"/>
      <c r="D30" s="144" t="str">
        <f>IF(C30="","",IF(C30&gt;60,Parameter!$A$22,ROUND((C30/60*Parameter!$A$22)/5,2)*5))</f>
        <v/>
      </c>
      <c r="E30" s="145" t="str">
        <f t="shared" si="0"/>
        <v/>
      </c>
      <c r="F30" s="146" t="str">
        <f t="shared" si="1"/>
        <v/>
      </c>
    </row>
    <row r="31" spans="2:7" x14ac:dyDescent="0.25">
      <c r="B31" s="143">
        <f>+IF($D$20="","",(VLOOKUP($D$20,Parameter!A:AF,8,0)))</f>
        <v>45664</v>
      </c>
      <c r="C31" s="6"/>
      <c r="D31" s="144" t="str">
        <f>IF(C31="","",IF(C31&gt;60,Parameter!$A$22,ROUND((C31/60*Parameter!$A$22)/5,2)*5))</f>
        <v/>
      </c>
      <c r="E31" s="145" t="str">
        <f t="shared" si="0"/>
        <v/>
      </c>
      <c r="F31" s="146" t="str">
        <f t="shared" si="1"/>
        <v/>
      </c>
    </row>
    <row r="32" spans="2:7" x14ac:dyDescent="0.25">
      <c r="B32" s="143">
        <f>+IF($D$20="","",(VLOOKUP($D$20,Parameter!A:AF,9,0)))</f>
        <v>45665</v>
      </c>
      <c r="C32" s="6"/>
      <c r="D32" s="144" t="str">
        <f>IF(C32="","",IF(C32&gt;60,Parameter!$A$22,ROUND((C32/60*Parameter!$A$22)/5,2)*5))</f>
        <v/>
      </c>
      <c r="E32" s="145" t="str">
        <f t="shared" si="0"/>
        <v/>
      </c>
      <c r="F32" s="146" t="str">
        <f t="shared" si="1"/>
        <v/>
      </c>
    </row>
    <row r="33" spans="2:6" x14ac:dyDescent="0.25">
      <c r="B33" s="143">
        <f>+IF($D$20="","",(VLOOKUP($D$20,Parameter!A:AF,10,0)))</f>
        <v>45666</v>
      </c>
      <c r="C33" s="6"/>
      <c r="D33" s="144" t="str">
        <f>IF(C33="","",IF(C33&gt;60,Parameter!$A$22,ROUND((C33/60*Parameter!$A$22)/5,2)*5))</f>
        <v/>
      </c>
      <c r="E33" s="145" t="str">
        <f t="shared" si="0"/>
        <v/>
      </c>
      <c r="F33" s="146" t="str">
        <f t="shared" si="1"/>
        <v/>
      </c>
    </row>
    <row r="34" spans="2:6" x14ac:dyDescent="0.25">
      <c r="B34" s="143">
        <f>+IF($D$20="","",(VLOOKUP($D$20,Parameter!A:AF,11,0)))</f>
        <v>45667</v>
      </c>
      <c r="C34" s="6"/>
      <c r="D34" s="144" t="str">
        <f>IF(C34="","",IF(C34&gt;60,Parameter!$A$22,ROUND((C34/60*Parameter!$A$22)/5,2)*5))</f>
        <v/>
      </c>
      <c r="E34" s="145" t="str">
        <f t="shared" si="0"/>
        <v/>
      </c>
      <c r="F34" s="146" t="str">
        <f t="shared" si="1"/>
        <v/>
      </c>
    </row>
    <row r="35" spans="2:6" x14ac:dyDescent="0.25">
      <c r="B35" s="143">
        <f>+IF($D$20="","",(VLOOKUP($D$20,Parameter!A:AF,12,0)))</f>
        <v>45668</v>
      </c>
      <c r="C35" s="6"/>
      <c r="D35" s="144" t="str">
        <f>IF(C35="","",IF(C35&gt;60,Parameter!$A$22,ROUND((C35/60*Parameter!$A$22)/5,2)*5))</f>
        <v/>
      </c>
      <c r="E35" s="145" t="str">
        <f t="shared" si="0"/>
        <v/>
      </c>
      <c r="F35" s="146" t="str">
        <f t="shared" si="1"/>
        <v/>
      </c>
    </row>
    <row r="36" spans="2:6" x14ac:dyDescent="0.25">
      <c r="B36" s="143">
        <f>+IF($D$20="","",(VLOOKUP($D$20,Parameter!A:AF,13,0)))</f>
        <v>45669</v>
      </c>
      <c r="C36" s="6"/>
      <c r="D36" s="144" t="str">
        <f>IF(C36="","",IF(C36&gt;60,Parameter!$A$22,ROUND((C36/60*Parameter!$A$22)/5,2)*5))</f>
        <v/>
      </c>
      <c r="E36" s="145" t="str">
        <f t="shared" si="0"/>
        <v/>
      </c>
      <c r="F36" s="146" t="str">
        <f t="shared" si="1"/>
        <v/>
      </c>
    </row>
    <row r="37" spans="2:6" x14ac:dyDescent="0.25">
      <c r="B37" s="143">
        <f>+IF($D$20="","",(VLOOKUP($D$20,Parameter!A:AF,14,0)))</f>
        <v>45670</v>
      </c>
      <c r="C37" s="6"/>
      <c r="D37" s="144" t="str">
        <f>IF(C37="","",IF(C37&gt;60,Parameter!$A$22,ROUND((C37/60*Parameter!$A$22)/5,2)*5))</f>
        <v/>
      </c>
      <c r="E37" s="145" t="str">
        <f t="shared" si="0"/>
        <v/>
      </c>
      <c r="F37" s="146" t="str">
        <f t="shared" si="1"/>
        <v/>
      </c>
    </row>
    <row r="38" spans="2:6" x14ac:dyDescent="0.25">
      <c r="B38" s="143">
        <f>+IF($D$20="","",(VLOOKUP($D$20,Parameter!A:AF,15,0)))</f>
        <v>45671</v>
      </c>
      <c r="C38" s="6"/>
      <c r="D38" s="144" t="str">
        <f>IF(C38="","",IF(C38&gt;60,Parameter!$A$22,ROUND((C38/60*Parameter!$A$22)/5,2)*5))</f>
        <v/>
      </c>
      <c r="E38" s="145" t="str">
        <f t="shared" si="0"/>
        <v/>
      </c>
      <c r="F38" s="146" t="str">
        <f t="shared" si="1"/>
        <v/>
      </c>
    </row>
    <row r="39" spans="2:6" x14ac:dyDescent="0.25">
      <c r="B39" s="143">
        <f>+IF($D$20="","",(VLOOKUP($D$20,Parameter!A:AF,16,0)))</f>
        <v>45672</v>
      </c>
      <c r="C39" s="6"/>
      <c r="D39" s="144" t="str">
        <f>IF(C39="","",IF(C39&gt;60,Parameter!$A$22,ROUND((C39/60*Parameter!$A$22)/5,2)*5))</f>
        <v/>
      </c>
      <c r="E39" s="145" t="str">
        <f t="shared" si="0"/>
        <v/>
      </c>
      <c r="F39" s="146" t="str">
        <f t="shared" si="1"/>
        <v/>
      </c>
    </row>
    <row r="40" spans="2:6" x14ac:dyDescent="0.25">
      <c r="B40" s="143">
        <f>+IF($D$20="","",(VLOOKUP($D$20,Parameter!A:AF,17,0)))</f>
        <v>45673</v>
      </c>
      <c r="C40" s="6"/>
      <c r="D40" s="144" t="str">
        <f>IF(C40="","",IF(C40&gt;60,Parameter!$A$22,ROUND((C40/60*Parameter!$A$22)/5,2)*5))</f>
        <v/>
      </c>
      <c r="E40" s="145" t="str">
        <f t="shared" si="0"/>
        <v/>
      </c>
      <c r="F40" s="146" t="str">
        <f t="shared" si="1"/>
        <v/>
      </c>
    </row>
    <row r="41" spans="2:6" x14ac:dyDescent="0.25">
      <c r="B41" s="143">
        <f>+IF($D$20="","",(VLOOKUP($D$20,Parameter!A:AF,18,0)))</f>
        <v>45674</v>
      </c>
      <c r="C41" s="6"/>
      <c r="D41" s="144" t="str">
        <f>IF(C41="","",IF(C41&gt;60,Parameter!$A$22,ROUND((C41/60*Parameter!$A$22)/5,2)*5))</f>
        <v/>
      </c>
      <c r="E41" s="145" t="str">
        <f t="shared" si="0"/>
        <v/>
      </c>
      <c r="F41" s="146" t="str">
        <f t="shared" si="1"/>
        <v/>
      </c>
    </row>
    <row r="42" spans="2:6" x14ac:dyDescent="0.25">
      <c r="B42" s="143">
        <f>+IF($D$20="","",(VLOOKUP($D$20,Parameter!A:AF,19,0)))</f>
        <v>45675</v>
      </c>
      <c r="C42" s="6"/>
      <c r="D42" s="144" t="str">
        <f>IF(C42="","",IF(C42&gt;60,Parameter!$A$22,ROUND((C42/60*Parameter!$A$22)/5,2)*5))</f>
        <v/>
      </c>
      <c r="E42" s="145" t="str">
        <f t="shared" si="0"/>
        <v/>
      </c>
      <c r="F42" s="146" t="str">
        <f t="shared" si="1"/>
        <v/>
      </c>
    </row>
    <row r="43" spans="2:6" x14ac:dyDescent="0.25">
      <c r="B43" s="143">
        <f>+IF($D$20="","",(VLOOKUP($D$20,Parameter!A:AF,20,0)))</f>
        <v>45676</v>
      </c>
      <c r="C43" s="6"/>
      <c r="D43" s="144" t="str">
        <f>IF(C43="","",IF(C43&gt;60,Parameter!$A$22,ROUND((C43/60*Parameter!$A$22)/5,2)*5))</f>
        <v/>
      </c>
      <c r="E43" s="145" t="str">
        <f t="shared" si="0"/>
        <v/>
      </c>
      <c r="F43" s="146" t="str">
        <f t="shared" si="1"/>
        <v/>
      </c>
    </row>
    <row r="44" spans="2:6" x14ac:dyDescent="0.25">
      <c r="B44" s="143">
        <f>+IF($D$20="","",(VLOOKUP($D$20,Parameter!A:AF,21,0)))</f>
        <v>45677</v>
      </c>
      <c r="C44" s="6"/>
      <c r="D44" s="144" t="str">
        <f>IF(C44="","",IF(C44&gt;60,Parameter!$A$22,ROUND((C44/60*Parameter!$A$22)/5,2)*5))</f>
        <v/>
      </c>
      <c r="E44" s="145" t="str">
        <f t="shared" si="0"/>
        <v/>
      </c>
      <c r="F44" s="146" t="str">
        <f t="shared" si="1"/>
        <v/>
      </c>
    </row>
    <row r="45" spans="2:6" x14ac:dyDescent="0.25">
      <c r="B45" s="143">
        <f>+IF($D$20="","",(VLOOKUP($D$20,Parameter!A:AF,22,0)))</f>
        <v>45678</v>
      </c>
      <c r="C45" s="6"/>
      <c r="D45" s="144" t="str">
        <f>IF(C45="","",IF(C45&gt;60,Parameter!$A$22,ROUND((C45/60*Parameter!$A$22)/5,2)*5))</f>
        <v/>
      </c>
      <c r="E45" s="145" t="str">
        <f t="shared" si="0"/>
        <v/>
      </c>
      <c r="F45" s="146" t="str">
        <f t="shared" si="1"/>
        <v/>
      </c>
    </row>
    <row r="46" spans="2:6" x14ac:dyDescent="0.25">
      <c r="B46" s="143">
        <f>+IF($D$20="","",(VLOOKUP($D$20,Parameter!A:AF,23,0)))</f>
        <v>45679</v>
      </c>
      <c r="C46" s="6"/>
      <c r="D46" s="144" t="str">
        <f>IF(C46="","",IF(C46&gt;60,Parameter!$A$22,ROUND((C46/60*Parameter!$A$22)/5,2)*5))</f>
        <v/>
      </c>
      <c r="E46" s="145" t="str">
        <f t="shared" si="0"/>
        <v/>
      </c>
      <c r="F46" s="146" t="str">
        <f t="shared" si="1"/>
        <v/>
      </c>
    </row>
    <row r="47" spans="2:6" x14ac:dyDescent="0.25">
      <c r="B47" s="143">
        <f>+IF($D$20="","",(VLOOKUP($D$20,Parameter!A:AF,24,0)))</f>
        <v>45680</v>
      </c>
      <c r="C47" s="6"/>
      <c r="D47" s="144" t="str">
        <f>IF(C47="","",IF(C47&gt;60,Parameter!$A$22,ROUND((C47/60*Parameter!$A$22)/5,2)*5))</f>
        <v/>
      </c>
      <c r="E47" s="145" t="str">
        <f t="shared" si="0"/>
        <v/>
      </c>
      <c r="F47" s="146" t="str">
        <f t="shared" si="1"/>
        <v/>
      </c>
    </row>
    <row r="48" spans="2:6" x14ac:dyDescent="0.25">
      <c r="B48" s="143">
        <f>+IF($D$20="","",(VLOOKUP($D$20,Parameter!A:AF,25,0)))</f>
        <v>45681</v>
      </c>
      <c r="C48" s="6"/>
      <c r="D48" s="144" t="str">
        <f>IF(C48="","",IF(C48&gt;60,Parameter!$A$22,ROUND((C48/60*Parameter!$A$22)/5,2)*5))</f>
        <v/>
      </c>
      <c r="E48" s="145" t="str">
        <f t="shared" si="0"/>
        <v/>
      </c>
      <c r="F48" s="146" t="str">
        <f t="shared" si="1"/>
        <v/>
      </c>
    </row>
    <row r="49" spans="2:7" x14ac:dyDescent="0.25">
      <c r="B49" s="143">
        <f>+IF($D$20="","",(VLOOKUP($D$20,Parameter!A:AF,26,0)))</f>
        <v>45682</v>
      </c>
      <c r="C49" s="6"/>
      <c r="D49" s="144" t="str">
        <f>IF(C49="","",IF(C49&gt;60,Parameter!$A$22,ROUND((C49/60*Parameter!$A$22)/5,2)*5))</f>
        <v/>
      </c>
      <c r="E49" s="145" t="str">
        <f t="shared" si="0"/>
        <v/>
      </c>
      <c r="F49" s="146" t="str">
        <f t="shared" si="1"/>
        <v/>
      </c>
    </row>
    <row r="50" spans="2:7" x14ac:dyDescent="0.25">
      <c r="B50" s="143">
        <f>+IF($D$20="","",(VLOOKUP($D$20,Parameter!A:AF,27,0)))</f>
        <v>45683</v>
      </c>
      <c r="C50" s="6"/>
      <c r="D50" s="144" t="str">
        <f>IF(C50="","",IF(C50&gt;60,Parameter!$A$22,ROUND((C50/60*Parameter!$A$22)/5,2)*5))</f>
        <v/>
      </c>
      <c r="E50" s="145" t="str">
        <f t="shared" si="0"/>
        <v/>
      </c>
      <c r="F50" s="146" t="str">
        <f t="shared" si="1"/>
        <v/>
      </c>
    </row>
    <row r="51" spans="2:7" x14ac:dyDescent="0.25">
      <c r="B51" s="143">
        <f>+IF($D$20="","",(VLOOKUP($D$20,Parameter!A:AF,28,0)))</f>
        <v>45684</v>
      </c>
      <c r="C51" s="6"/>
      <c r="D51" s="144" t="str">
        <f>IF(C51="","",IF(C51&gt;60,Parameter!$A$22,ROUND((C51/60*Parameter!$A$22)/5,2)*5))</f>
        <v/>
      </c>
      <c r="E51" s="145" t="str">
        <f t="shared" si="0"/>
        <v/>
      </c>
      <c r="F51" s="146" t="str">
        <f t="shared" si="1"/>
        <v/>
      </c>
    </row>
    <row r="52" spans="2:7" x14ac:dyDescent="0.25">
      <c r="B52" s="143">
        <f>+IF($D$20="","",(VLOOKUP($D$20,Parameter!A:AF,29,0)))</f>
        <v>45685</v>
      </c>
      <c r="C52" s="6"/>
      <c r="D52" s="144" t="str">
        <f>IF(C52="","",IF(C52&gt;60,Parameter!$A$22,ROUND((C52/60*Parameter!$A$22)/5,2)*5))</f>
        <v/>
      </c>
      <c r="E52" s="145" t="str">
        <f t="shared" si="0"/>
        <v/>
      </c>
      <c r="F52" s="146" t="str">
        <f t="shared" si="1"/>
        <v/>
      </c>
    </row>
    <row r="53" spans="2:7" x14ac:dyDescent="0.25">
      <c r="B53" s="143">
        <f>+IF($D$20="","",(VLOOKUP($D$20,Parameter!A:AF,30,0)))</f>
        <v>45686</v>
      </c>
      <c r="C53" s="6"/>
      <c r="D53" s="144" t="str">
        <f>IF(C53="","",IF(C53&gt;60,Parameter!$A$22,ROUND((C53/60*Parameter!$A$22)/5,2)*5))</f>
        <v/>
      </c>
      <c r="E53" s="145" t="str">
        <f t="shared" si="0"/>
        <v/>
      </c>
      <c r="F53" s="146" t="str">
        <f t="shared" si="1"/>
        <v/>
      </c>
    </row>
    <row r="54" spans="2:7" x14ac:dyDescent="0.25">
      <c r="B54" s="143">
        <f>+IF($D$20="","",(VLOOKUP($D$20,Parameter!A:AF,31,0)))</f>
        <v>45687</v>
      </c>
      <c r="C54" s="6"/>
      <c r="D54" s="144" t="str">
        <f>IF(C54="","",IF(C54&gt;60,Parameter!$A$22,ROUND((C54/60*Parameter!$A$22)/5,2)*5))</f>
        <v/>
      </c>
      <c r="E54" s="145" t="str">
        <f t="shared" si="0"/>
        <v/>
      </c>
      <c r="F54" s="146" t="str">
        <f t="shared" si="1"/>
        <v/>
      </c>
    </row>
    <row r="55" spans="2:7" x14ac:dyDescent="0.25">
      <c r="B55" s="143">
        <f>+IF($D$20="","",(VLOOKUP($D$20,Parameter!A:AF,32,0)))</f>
        <v>45688</v>
      </c>
      <c r="C55" s="6"/>
      <c r="D55" s="144" t="str">
        <f>IF(C55="","",IF(C55&gt;60,Parameter!$A$22,ROUND((C55/60*Parameter!$A$22)/5,2)*5))</f>
        <v/>
      </c>
      <c r="E55" s="145" t="str">
        <f t="shared" si="0"/>
        <v/>
      </c>
      <c r="F55" s="146">
        <f>IF($C$56="","",SUM(D55:E55))</f>
        <v>0</v>
      </c>
    </row>
    <row r="56" spans="2:7" x14ac:dyDescent="0.25">
      <c r="B56" s="147" t="s">
        <v>8</v>
      </c>
      <c r="C56" s="148">
        <f>SUM(C25:C55)</f>
        <v>0</v>
      </c>
      <c r="D56" s="149">
        <f>SUM(D25:D55)</f>
        <v>0</v>
      </c>
      <c r="E56" s="150">
        <f>ROUND(((C56/60*$K$21)-D56)*20,0)/20</f>
        <v>0</v>
      </c>
      <c r="F56" s="151">
        <f>SUM(D56:E56)</f>
        <v>0</v>
      </c>
      <c r="G56" s="139"/>
    </row>
    <row r="57" spans="2:7" x14ac:dyDescent="0.25">
      <c r="B57" s="147" t="s">
        <v>74</v>
      </c>
      <c r="C57" s="148">
        <f>+COUNTIFS(C25:C55,"&gt;0")</f>
        <v>0</v>
      </c>
      <c r="D57" s="149"/>
      <c r="E57" s="150"/>
      <c r="F57" s="151"/>
      <c r="G57" s="139"/>
    </row>
  </sheetData>
  <sheetProtection algorithmName="SHA-512" hashValue="ByniudXaCh6YgIvEGiNBC3cX64xz8Bsevj+hor3c+ecdXEKEmAOAkRabGOsClM8VJGtUI8+/zazfrmSPJmPuYg==" saltValue="WcH0wIS3pWP3uPAwXj+zjQ==" spinCount="100000" sheet="1" objects="1" scenarios="1" selectLockedCells="1"/>
  <mergeCells count="5">
    <mergeCell ref="B18:C18"/>
    <mergeCell ref="B20:C20"/>
    <mergeCell ref="B14:C14"/>
    <mergeCell ref="B13:C13"/>
    <mergeCell ref="B2:E2"/>
  </mergeCells>
  <hyperlinks>
    <hyperlink ref="F9" r:id="rId1" xr:uid="{00000000-0004-0000-0000-000000000000}"/>
  </hyperlinks>
  <pageMargins left="0.70866141732283472" right="0.70866141732283472" top="0.78740157480314965" bottom="0.78740157480314965" header="0.31496062992125984" footer="0.31496062992125984"/>
  <pageSetup paperSize="9" scale="77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D37"/>
  <sheetViews>
    <sheetView zoomScale="70" zoomScaleNormal="70" workbookViewId="0">
      <selection sqref="A1:XFD1048576"/>
    </sheetView>
  </sheetViews>
  <sheetFormatPr baseColWidth="10" defaultRowHeight="15" x14ac:dyDescent="0.25"/>
  <cols>
    <col min="1" max="1" width="19.42578125" style="8" customWidth="1"/>
    <col min="2" max="2" width="32.42578125" style="8" customWidth="1"/>
    <col min="3" max="3" width="9.5703125" style="8" bestFit="1" customWidth="1"/>
    <col min="4" max="5" width="32.42578125" style="8" customWidth="1"/>
    <col min="6" max="7" width="21.140625" style="8" customWidth="1"/>
    <col min="8" max="8" width="6" style="8" bestFit="1" customWidth="1"/>
    <col min="9" max="9" width="11.140625" style="8" bestFit="1" customWidth="1"/>
    <col min="10" max="10" width="6" style="8" bestFit="1" customWidth="1"/>
    <col min="11" max="11" width="11.140625" style="8" bestFit="1" customWidth="1"/>
    <col min="12" max="12" width="11.42578125" style="8"/>
    <col min="13" max="13" width="12.85546875" style="8" bestFit="1" customWidth="1"/>
    <col min="14" max="23" width="11.42578125" style="8"/>
    <col min="24" max="24" width="15" style="8" bestFit="1" customWidth="1"/>
    <col min="26" max="29" width="11.42578125" style="8"/>
    <col min="31" max="16384" width="11.42578125" style="8"/>
  </cols>
  <sheetData>
    <row r="2" spans="1:20" ht="23.25" customHeight="1" x14ac:dyDescent="0.35">
      <c r="A2" s="7" t="s">
        <v>68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20" ht="23.25" customHeight="1" x14ac:dyDescent="0.35">
      <c r="A3" s="7"/>
      <c r="B3" s="7"/>
      <c r="C3" s="7"/>
      <c r="D3" s="7" t="str">
        <f>+'Patientenbeteiligung 2025'!F2</f>
        <v>K 2025 PB</v>
      </c>
      <c r="E3" s="7"/>
      <c r="H3" s="7"/>
      <c r="I3" s="7"/>
      <c r="J3" s="7"/>
      <c r="K3" s="7"/>
    </row>
    <row r="4" spans="1:20" ht="23.25" customHeight="1" x14ac:dyDescent="0.25">
      <c r="A4" s="9"/>
    </row>
    <row r="5" spans="1:20" ht="33" customHeight="1" x14ac:dyDescent="0.35">
      <c r="A5" s="53" t="s">
        <v>69</v>
      </c>
      <c r="B5" s="53"/>
      <c r="C5" s="53"/>
      <c r="D5" s="53"/>
      <c r="E5" s="53"/>
      <c r="F5" s="53"/>
      <c r="G5" s="53"/>
      <c r="H5" s="53"/>
      <c r="I5" s="10"/>
      <c r="J5" s="10"/>
      <c r="K5" s="10"/>
      <c r="L5" s="7"/>
    </row>
    <row r="6" spans="1:20" ht="23.25" customHeight="1" x14ac:dyDescent="0.25"/>
    <row r="7" spans="1:20" customFormat="1" ht="23.25" customHeight="1" x14ac:dyDescent="0.25">
      <c r="A7" s="38" t="s">
        <v>70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20" customFormat="1" ht="23.25" customHeight="1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O8" s="39"/>
    </row>
    <row r="9" spans="1:20" customFormat="1" ht="23.25" customHeight="1" x14ac:dyDescent="0.25">
      <c r="A9" t="s">
        <v>11</v>
      </c>
      <c r="B9" s="40" t="str">
        <f>+'Patientenbeteiligung 2025'!C5</f>
        <v>ORGANISATIONS NAME</v>
      </c>
      <c r="C9" t="s">
        <v>17</v>
      </c>
      <c r="D9" s="54" t="str">
        <f>+'Patientenbeteiligung 2025'!C8</f>
        <v>S111111</v>
      </c>
      <c r="E9" s="52"/>
      <c r="F9" s="41"/>
      <c r="G9" s="41"/>
      <c r="H9" s="41"/>
      <c r="I9" s="41"/>
    </row>
    <row r="10" spans="1:20" customFormat="1" ht="23.25" customHeight="1" x14ac:dyDescent="0.25">
      <c r="A10" t="s">
        <v>13</v>
      </c>
      <c r="B10" s="40" t="str">
        <f>+'Patientenbeteiligung 2025'!C6</f>
        <v>NAME Verantwortliche Person</v>
      </c>
      <c r="C10" t="s">
        <v>19</v>
      </c>
      <c r="D10" s="54" t="str">
        <f>+'Patientenbeteiligung 2025'!C9</f>
        <v>7676767676767</v>
      </c>
      <c r="E10" s="52"/>
      <c r="F10" s="41"/>
      <c r="G10" s="41"/>
      <c r="H10" s="41"/>
      <c r="I10" s="41"/>
    </row>
    <row r="11" spans="1:20" customFormat="1" ht="23.25" customHeight="1" x14ac:dyDescent="0.25">
      <c r="A11" t="s">
        <v>15</v>
      </c>
      <c r="B11" s="40" t="str">
        <f>+'Patientenbeteiligung 2025'!C7</f>
        <v>VORNAME Verantwortliche Person</v>
      </c>
      <c r="D11" s="55"/>
      <c r="E11" s="52"/>
    </row>
    <row r="12" spans="1:20" customFormat="1" ht="23.25" customHeight="1" x14ac:dyDescent="0.25">
      <c r="A12" t="s">
        <v>20</v>
      </c>
      <c r="B12" s="40" t="str">
        <f>+'Patientenbeteiligung 2025'!F5</f>
        <v>Pflegestr. 1</v>
      </c>
      <c r="D12" s="51"/>
      <c r="E12" s="52"/>
      <c r="F12" s="41"/>
      <c r="G12" s="41"/>
      <c r="H12" s="41"/>
      <c r="I12" s="41"/>
    </row>
    <row r="13" spans="1:20" customFormat="1" ht="23.25" customHeight="1" x14ac:dyDescent="0.25">
      <c r="A13" t="s">
        <v>22</v>
      </c>
      <c r="B13" s="40" t="str">
        <f>+'Patientenbeteiligung 2025'!F6</f>
        <v>4500</v>
      </c>
      <c r="D13" s="51"/>
      <c r="E13" s="52"/>
      <c r="F13" s="41"/>
      <c r="G13" s="41"/>
      <c r="H13" s="41"/>
      <c r="I13" s="41"/>
    </row>
    <row r="14" spans="1:20" customFormat="1" ht="23.25" customHeight="1" x14ac:dyDescent="0.25">
      <c r="A14" t="s">
        <v>24</v>
      </c>
      <c r="B14" s="40" t="str">
        <f>+'Patientenbeteiligung 2025'!F7</f>
        <v>Solothurn</v>
      </c>
      <c r="D14" s="51"/>
      <c r="E14" s="52"/>
      <c r="F14" s="41"/>
      <c r="G14" s="41"/>
      <c r="H14" s="41"/>
      <c r="I14" s="41"/>
    </row>
    <row r="15" spans="1:20" customFormat="1" ht="23.25" customHeight="1" x14ac:dyDescent="0.25">
      <c r="B15" s="42"/>
      <c r="C15" s="43"/>
      <c r="D15" s="43"/>
      <c r="E15" s="43"/>
      <c r="O15" s="43"/>
      <c r="P15" s="43"/>
      <c r="Q15" s="43"/>
      <c r="R15" s="43"/>
      <c r="S15" s="43"/>
      <c r="T15" s="43"/>
    </row>
    <row r="16" spans="1:20" customFormat="1" ht="23.25" customHeight="1" x14ac:dyDescent="0.25">
      <c r="A16" s="44" t="s">
        <v>34</v>
      </c>
      <c r="B16" s="45">
        <f>+'Patientenbeteiligung 2025'!D20</f>
        <v>45658</v>
      </c>
      <c r="C16" s="46"/>
      <c r="D16" s="46"/>
      <c r="E16" s="46"/>
      <c r="F16" s="46"/>
      <c r="G16" s="46"/>
      <c r="H16" s="44"/>
      <c r="I16" s="44"/>
      <c r="J16" s="44"/>
      <c r="K16" s="44"/>
    </row>
    <row r="17" spans="1:24" ht="23.25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2"/>
    </row>
    <row r="18" spans="1:24" ht="23.25" customHeight="1" x14ac:dyDescent="0.25">
      <c r="N18" s="57" t="s">
        <v>35</v>
      </c>
      <c r="O18" s="57"/>
      <c r="P18" s="57"/>
      <c r="Q18" s="57"/>
      <c r="R18" s="57" t="s">
        <v>36</v>
      </c>
      <c r="S18" s="58"/>
      <c r="T18" s="58"/>
      <c r="U18" s="59" t="s">
        <v>37</v>
      </c>
      <c r="V18" s="59"/>
      <c r="W18" s="59"/>
      <c r="X18" s="59"/>
    </row>
    <row r="19" spans="1:24" ht="99.75" customHeight="1" x14ac:dyDescent="0.25">
      <c r="A19" s="13" t="s">
        <v>38</v>
      </c>
      <c r="B19" s="13" t="s">
        <v>39</v>
      </c>
      <c r="C19" s="13" t="s">
        <v>40</v>
      </c>
      <c r="D19" s="13" t="s">
        <v>13</v>
      </c>
      <c r="E19" s="13" t="s">
        <v>24</v>
      </c>
      <c r="F19" s="13" t="s">
        <v>41</v>
      </c>
      <c r="G19" s="13" t="s">
        <v>42</v>
      </c>
      <c r="H19" s="13" t="s">
        <v>43</v>
      </c>
      <c r="I19" s="13" t="s">
        <v>44</v>
      </c>
      <c r="J19" s="13" t="s">
        <v>45</v>
      </c>
      <c r="K19" s="13" t="s">
        <v>46</v>
      </c>
      <c r="L19" s="14" t="s">
        <v>47</v>
      </c>
      <c r="M19" s="15" t="s">
        <v>48</v>
      </c>
      <c r="N19" s="15" t="s">
        <v>49</v>
      </c>
      <c r="O19" s="15" t="s">
        <v>50</v>
      </c>
      <c r="P19" s="15" t="s">
        <v>51</v>
      </c>
      <c r="Q19" s="14" t="s">
        <v>52</v>
      </c>
      <c r="R19" s="15" t="s">
        <v>53</v>
      </c>
      <c r="S19" s="15" t="s">
        <v>54</v>
      </c>
      <c r="T19" s="15" t="s">
        <v>55</v>
      </c>
      <c r="U19" s="15" t="s">
        <v>53</v>
      </c>
      <c r="V19" s="15" t="s">
        <v>56</v>
      </c>
      <c r="W19" s="15" t="s">
        <v>57</v>
      </c>
      <c r="X19" s="16" t="s">
        <v>58</v>
      </c>
    </row>
    <row r="20" spans="1:24" ht="23.25" customHeight="1" thickBot="1" x14ac:dyDescent="0.3">
      <c r="A20" s="17" t="str">
        <f>IFERROR(IF($H$20&lt;&gt;"",D3,""),"")</f>
        <v>K 2025 PB</v>
      </c>
      <c r="B20" s="17" t="str">
        <f>IFERROR(IF($H$20&lt;&gt;"",D9,""),"")</f>
        <v>S111111</v>
      </c>
      <c r="C20" s="17" t="str">
        <f>IFERROR(IF($H$20&lt;&gt;"",B9,""),"")</f>
        <v>ORGANISATIONS NAME</v>
      </c>
      <c r="D20" s="17" t="str">
        <f>IFERROR(IF($H$20&lt;&gt;"",B10&amp;" "&amp;B11,""),"")</f>
        <v>NAME Verantwortliche Person VORNAME Verantwortliche Person</v>
      </c>
      <c r="E20" s="17" t="str">
        <f>IFERROR(IF($H$20&lt;&gt;"",+B14,""),"")</f>
        <v>Solothurn</v>
      </c>
      <c r="F20" s="48" t="str">
        <f>IFERROR(IF($H$20&lt;&gt;"",TEXT(B16,"MM.JJ"),""),"")</f>
        <v>01.25</v>
      </c>
      <c r="G20" s="17" t="str">
        <f>IFERROR(IF($H$20&lt;&gt;"",'Patientenbeteiligung 2025'!D14,""),"")</f>
        <v>756.0000.0000.00</v>
      </c>
      <c r="H20" s="17" t="str">
        <f>IF(ISBLANK('Patientenbeteiligung 2025'!D15),"",('Patientenbeteiligung 2025'!D15))</f>
        <v>4500</v>
      </c>
      <c r="I20" s="17" t="str">
        <f>IF(ISBLANK('Patientenbeteiligung 2025'!E15),"",('Patientenbeteiligung 2025'!E15))</f>
        <v>Wohnsitz</v>
      </c>
      <c r="J20" s="17" t="str">
        <f>IF(ISBLANK('Patientenbeteiligung 2025'!D16),"",('Patientenbeteiligung 2025'!D16))</f>
        <v>4500</v>
      </c>
      <c r="K20" s="17" t="str">
        <f>IF(ISBLANK('Patientenbeteiligung 2025'!E16),"",('Patientenbeteiligung 2025'!E16))</f>
        <v>Pflegeort</v>
      </c>
      <c r="L20" s="24">
        <f>+'Patientenbeteiligung 2025'!C57</f>
        <v>0</v>
      </c>
      <c r="M20" s="25">
        <f>+'Patientenbeteiligung 2025'!D56</f>
        <v>0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9">
        <f>+M20</f>
        <v>0</v>
      </c>
    </row>
    <row r="21" spans="1:24" customFormat="1" ht="23.25" customHeight="1" thickBot="1" x14ac:dyDescent="0.3">
      <c r="A21" s="33" t="s">
        <v>59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 t="s">
        <v>60</v>
      </c>
      <c r="W21" s="35"/>
      <c r="X21" s="37">
        <f>ROUND(SUM(X20:X20)*20,)/20</f>
        <v>0</v>
      </c>
    </row>
    <row r="22" spans="1:24" ht="23.25" customHeight="1" x14ac:dyDescent="0.25">
      <c r="A22" s="60" t="s">
        <v>61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</row>
    <row r="23" spans="1:24" customFormat="1" ht="36.75" customHeight="1" x14ac:dyDescent="0.25">
      <c r="A23" s="61" t="s">
        <v>110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</row>
    <row r="24" spans="1:24" customFormat="1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customFormat="1" x14ac:dyDescent="0.25">
      <c r="A25" s="62" t="s">
        <v>62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</row>
    <row r="26" spans="1:24" customFormat="1" x14ac:dyDescent="0.25">
      <c r="A26" s="62" t="s">
        <v>63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</row>
    <row r="27" spans="1:24" customFormat="1" ht="18" customHeight="1" x14ac:dyDescent="0.25">
      <c r="A27" s="62" t="s">
        <v>64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</row>
    <row r="28" spans="1:24" customFormat="1" ht="18" customHeight="1" x14ac:dyDescent="0.25">
      <c r="A28" s="62" t="s">
        <v>65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</row>
    <row r="29" spans="1:24" customFormat="1" x14ac:dyDescent="0.25">
      <c r="A29" s="62" t="s">
        <v>66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</row>
    <row r="30" spans="1:24" customFormat="1" ht="12" customHeight="1" x14ac:dyDescent="0.25"/>
    <row r="31" spans="1:24" customFormat="1" x14ac:dyDescent="0.25">
      <c r="A31" s="56" t="s">
        <v>88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</row>
    <row r="32" spans="1:24" customFormat="1" ht="12" customHeight="1" x14ac:dyDescent="0.25"/>
    <row r="33" spans="1:24" customFormat="1" x14ac:dyDescent="0.25">
      <c r="A33" s="27" t="s">
        <v>67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</row>
    <row r="34" spans="1:24" customFormat="1" x14ac:dyDescent="0.25"/>
    <row r="35" spans="1:24" customFormat="1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30"/>
      <c r="X35" s="31"/>
    </row>
    <row r="36" spans="1:24" customFormat="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7"/>
      <c r="M36" s="27"/>
      <c r="N36" s="27"/>
      <c r="X36" s="32" t="str">
        <f>D9&amp;"/"&amp;D10</f>
        <v>S111111/7676767676767</v>
      </c>
    </row>
    <row r="37" spans="1:24" ht="21" x14ac:dyDescent="0.3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1"/>
      <c r="P37" s="21"/>
      <c r="Q37" s="21"/>
      <c r="R37" s="21"/>
      <c r="S37" s="21"/>
      <c r="T37" s="21"/>
      <c r="U37" s="21"/>
      <c r="V37" s="21"/>
      <c r="W37" s="21"/>
      <c r="X37" s="21"/>
    </row>
  </sheetData>
  <sheetProtection algorithmName="SHA-512" hashValue="cDCWCfXWiiv/B+Epa7pYCvVzWyw/YRneETYW7E4Tu74WjiOZnnA8J6qFo1ml2HnmNCheSb+nvDbOsjQdkYq2OA==" saltValue="exqqDU0r46H+xq5xcZRo/A==" spinCount="100000" sheet="1" objects="1" scenarios="1"/>
  <mergeCells count="18">
    <mergeCell ref="A31:X31"/>
    <mergeCell ref="D14:E14"/>
    <mergeCell ref="N18:Q18"/>
    <mergeCell ref="R18:T18"/>
    <mergeCell ref="U18:X18"/>
    <mergeCell ref="A22:X22"/>
    <mergeCell ref="A23:X23"/>
    <mergeCell ref="A25:X25"/>
    <mergeCell ref="A26:X26"/>
    <mergeCell ref="A27:X27"/>
    <mergeCell ref="A28:X28"/>
    <mergeCell ref="A29:X29"/>
    <mergeCell ref="D13:E13"/>
    <mergeCell ref="A5:H5"/>
    <mergeCell ref="D9:E9"/>
    <mergeCell ref="D10:E10"/>
    <mergeCell ref="D11:E11"/>
    <mergeCell ref="D12:E12"/>
  </mergeCells>
  <pageMargins left="0.70866141732283472" right="0.70866141732283472" top="0.78740157480314965" bottom="0.78740157480314965" header="0.31496062992125984" footer="0.31496062992125984"/>
  <pageSetup paperSize="9" scale="37" orientation="landscape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57645-9DD8-410F-81D6-9038821266C7}">
  <sheetPr>
    <pageSetUpPr fitToPage="1"/>
  </sheetPr>
  <dimension ref="A1:E27"/>
  <sheetViews>
    <sheetView workbookViewId="0">
      <selection sqref="A1:XFD1048576"/>
    </sheetView>
  </sheetViews>
  <sheetFormatPr baseColWidth="10" defaultRowHeight="15" x14ac:dyDescent="0.25"/>
  <cols>
    <col min="1" max="1" width="34.85546875" style="67" customWidth="1"/>
    <col min="2" max="2" width="24.140625" style="67" customWidth="1"/>
    <col min="3" max="3" width="24.42578125" style="67" customWidth="1"/>
    <col min="4" max="4" width="6" style="67" customWidth="1"/>
    <col min="5" max="5" width="21.85546875" style="67" customWidth="1"/>
    <col min="6" max="16384" width="11.42578125" style="67"/>
  </cols>
  <sheetData>
    <row r="1" spans="1:5" ht="26.25" x14ac:dyDescent="0.25">
      <c r="A1" s="63" t="s">
        <v>81</v>
      </c>
      <c r="B1" s="64"/>
      <c r="C1" s="65" t="s">
        <v>89</v>
      </c>
      <c r="D1" s="65"/>
      <c r="E1" s="66"/>
    </row>
    <row r="2" spans="1:5" ht="26.25" x14ac:dyDescent="0.25">
      <c r="A2" s="68"/>
      <c r="B2" s="69"/>
      <c r="C2" s="70"/>
      <c r="D2" s="70"/>
      <c r="E2" s="71"/>
    </row>
    <row r="3" spans="1:5" ht="30" x14ac:dyDescent="0.25">
      <c r="A3" s="72" t="s">
        <v>90</v>
      </c>
      <c r="B3" s="73" t="s">
        <v>91</v>
      </c>
      <c r="C3" s="74" t="s">
        <v>92</v>
      </c>
      <c r="D3" s="75"/>
      <c r="E3" s="76" t="s">
        <v>83</v>
      </c>
    </row>
    <row r="4" spans="1:5" x14ac:dyDescent="0.25">
      <c r="A4" s="77" t="s">
        <v>93</v>
      </c>
      <c r="B4" s="78" t="str">
        <f>+'Patientenbeteiligung 2025'!C8&amp;" "&amp;TEXT('Patientenbeteiligung 2025'!D20,"MM.JJ")</f>
        <v>S111111 01.25</v>
      </c>
      <c r="C4" s="49" t="s">
        <v>94</v>
      </c>
      <c r="D4" s="79"/>
      <c r="E4" s="80">
        <f ca="1">TODAY()</f>
        <v>45677</v>
      </c>
    </row>
    <row r="5" spans="1:5" x14ac:dyDescent="0.25">
      <c r="A5" s="72" t="s">
        <v>82</v>
      </c>
      <c r="B5" s="81" t="s">
        <v>95</v>
      </c>
      <c r="C5" s="82"/>
      <c r="D5" s="82"/>
      <c r="E5" s="83"/>
    </row>
    <row r="6" spans="1:5" x14ac:dyDescent="0.25">
      <c r="A6" s="84">
        <v>25</v>
      </c>
      <c r="B6" s="85" t="str">
        <f>+'Patientenbeteiligung 2025'!F10</f>
        <v>ORGANISATIONS NAME</v>
      </c>
      <c r="C6" s="86"/>
      <c r="D6" s="86"/>
      <c r="E6" s="87"/>
    </row>
    <row r="7" spans="1:5" x14ac:dyDescent="0.25">
      <c r="A7" s="88"/>
      <c r="B7" s="85" t="str">
        <f>+'Patientenbeteiligung 2025'!F5</f>
        <v>Pflegestr. 1</v>
      </c>
      <c r="C7" s="86"/>
      <c r="D7" s="86"/>
      <c r="E7" s="87"/>
    </row>
    <row r="8" spans="1:5" x14ac:dyDescent="0.25">
      <c r="A8" s="88"/>
      <c r="B8" s="89" t="str">
        <f>+'Patientenbeteiligung 2025'!F6&amp;" "&amp;'Patientenbeteiligung 2025'!F7</f>
        <v>4500 Solothurn</v>
      </c>
      <c r="C8" s="86"/>
      <c r="D8" s="86"/>
      <c r="E8" s="87"/>
    </row>
    <row r="9" spans="1:5" x14ac:dyDescent="0.25">
      <c r="A9" s="90"/>
      <c r="B9" s="89" t="str">
        <f>"Kto.-Inh. "&amp;'Patientenbeteiligung 2025'!F10</f>
        <v>Kto.-Inh. ORGANISATIONS NAME</v>
      </c>
      <c r="C9" s="86"/>
      <c r="D9" s="86"/>
      <c r="E9" s="87"/>
    </row>
    <row r="10" spans="1:5" ht="75" x14ac:dyDescent="0.25">
      <c r="A10" s="91" t="s">
        <v>96</v>
      </c>
      <c r="B10" s="81" t="s">
        <v>97</v>
      </c>
      <c r="C10" s="82"/>
      <c r="D10" s="82"/>
      <c r="E10" s="83"/>
    </row>
    <row r="11" spans="1:5" x14ac:dyDescent="0.25">
      <c r="A11" s="92" t="str">
        <f>+'Patientenbeteiligung 2025'!F11</f>
        <v>CH1111111111111111111</v>
      </c>
      <c r="B11" s="93" t="str">
        <f>+'Patientenbeteiligung 2025'!C5&amp;" "&amp;TEXT('Patientenbeteiligung 2025'!D18,"TT.MM.JJ")&amp;" "&amp;TEXT('Patientenbeteiligung 2025'!D20,"MM.JJ")</f>
        <v>ORGANISATIONS NAME 01.01.20 01.25</v>
      </c>
      <c r="C11" s="94"/>
      <c r="D11" s="94"/>
      <c r="E11" s="95"/>
    </row>
    <row r="12" spans="1:5" x14ac:dyDescent="0.25">
      <c r="A12" s="72" t="s">
        <v>84</v>
      </c>
      <c r="B12" s="96"/>
      <c r="C12" s="97"/>
      <c r="D12" s="97"/>
      <c r="E12" s="98"/>
    </row>
    <row r="13" spans="1:5" x14ac:dyDescent="0.25">
      <c r="A13" s="99"/>
      <c r="B13" s="100"/>
      <c r="C13" s="97"/>
      <c r="D13" s="97"/>
      <c r="E13" s="98"/>
    </row>
    <row r="14" spans="1:5" ht="60" x14ac:dyDescent="0.25">
      <c r="A14" s="91" t="s">
        <v>85</v>
      </c>
      <c r="B14" s="100"/>
      <c r="C14" s="97"/>
      <c r="D14" s="97"/>
      <c r="E14" s="98"/>
    </row>
    <row r="15" spans="1:5" x14ac:dyDescent="0.25">
      <c r="A15" s="101"/>
      <c r="B15" s="100"/>
      <c r="C15" s="97"/>
      <c r="D15" s="97"/>
      <c r="E15" s="98"/>
    </row>
    <row r="16" spans="1:5" x14ac:dyDescent="0.25">
      <c r="A16" s="72" t="s">
        <v>98</v>
      </c>
      <c r="B16" s="100"/>
      <c r="C16" s="97"/>
      <c r="D16" s="97"/>
      <c r="E16" s="98"/>
    </row>
    <row r="17" spans="1:5" x14ac:dyDescent="0.25">
      <c r="A17" s="77" t="s">
        <v>108</v>
      </c>
      <c r="B17" s="102"/>
      <c r="C17" s="103"/>
      <c r="D17" s="103"/>
      <c r="E17" s="104"/>
    </row>
    <row r="18" spans="1:5" x14ac:dyDescent="0.25">
      <c r="A18" s="72" t="s">
        <v>99</v>
      </c>
      <c r="B18" s="105" t="s">
        <v>100</v>
      </c>
      <c r="C18" s="106" t="s">
        <v>86</v>
      </c>
      <c r="D18" s="106"/>
      <c r="E18" s="107" t="s">
        <v>101</v>
      </c>
    </row>
    <row r="19" spans="1:5" x14ac:dyDescent="0.25">
      <c r="A19" s="77">
        <v>1015073</v>
      </c>
      <c r="B19" s="108"/>
      <c r="C19" s="108"/>
      <c r="D19" s="109"/>
      <c r="E19" s="110">
        <f>+'Patientenbeteiligung 2025'!D56</f>
        <v>0</v>
      </c>
    </row>
    <row r="20" spans="1:5" x14ac:dyDescent="0.25">
      <c r="A20" s="77" t="str">
        <f>+"Formular"&amp;" "&amp;'Patientenbeteiligung 2025'!F2</f>
        <v>Formular K 2025 PB</v>
      </c>
      <c r="B20" s="101"/>
      <c r="C20" s="101"/>
      <c r="D20" s="111"/>
      <c r="E20" s="112"/>
    </row>
    <row r="21" spans="1:5" x14ac:dyDescent="0.25">
      <c r="A21" s="77"/>
      <c r="B21" s="113"/>
      <c r="C21" s="113"/>
      <c r="D21" s="114"/>
      <c r="E21" s="50"/>
    </row>
    <row r="22" spans="1:5" x14ac:dyDescent="0.25">
      <c r="A22" s="77"/>
      <c r="B22" s="113"/>
      <c r="C22" s="113"/>
      <c r="D22" s="114"/>
      <c r="E22" s="50"/>
    </row>
    <row r="23" spans="1:5" x14ac:dyDescent="0.25">
      <c r="A23" s="77"/>
      <c r="B23" s="113"/>
      <c r="C23" s="113"/>
      <c r="D23" s="114"/>
      <c r="E23" s="50"/>
    </row>
    <row r="24" spans="1:5" x14ac:dyDescent="0.25">
      <c r="A24" s="115"/>
      <c r="B24" s="116"/>
      <c r="C24" s="77" t="s">
        <v>87</v>
      </c>
      <c r="D24" s="117" t="s">
        <v>60</v>
      </c>
      <c r="E24" s="50">
        <f>SUM(E19:E23)</f>
        <v>0</v>
      </c>
    </row>
    <row r="25" spans="1:5" x14ac:dyDescent="0.25">
      <c r="A25" s="72" t="s">
        <v>78</v>
      </c>
      <c r="B25" s="118" t="s">
        <v>79</v>
      </c>
      <c r="C25" s="119" t="s">
        <v>80</v>
      </c>
      <c r="D25" s="120"/>
      <c r="E25" s="121"/>
    </row>
    <row r="26" spans="1:5" ht="60" x14ac:dyDescent="0.25">
      <c r="A26" s="91" t="s">
        <v>102</v>
      </c>
      <c r="B26" s="122" t="s">
        <v>103</v>
      </c>
      <c r="C26" s="123" t="s">
        <v>104</v>
      </c>
      <c r="D26" s="124"/>
      <c r="E26" s="121"/>
    </row>
    <row r="27" spans="1:5" ht="60" x14ac:dyDescent="0.25">
      <c r="A27" s="91" t="s">
        <v>105</v>
      </c>
      <c r="B27" s="122" t="s">
        <v>103</v>
      </c>
      <c r="C27" s="123" t="s">
        <v>104</v>
      </c>
      <c r="D27" s="124"/>
      <c r="E27" s="121"/>
    </row>
  </sheetData>
  <sheetProtection algorithmName="SHA-512" hashValue="Uw6AOPMCN3CmVrJS8IfUpY9vuvoBN7+fhMvvc0Zvz3r8xFMOOXwG1eVu0gfWTm65z+mWlKMzTCXb8I2pu7cYOQ==" saltValue="kcbVP/gOVMoNmI74hNqjEw==" spinCount="100000" sheet="1" objects="1" scenarios="1"/>
  <mergeCells count="15">
    <mergeCell ref="C27:E27"/>
    <mergeCell ref="B10:E10"/>
    <mergeCell ref="B11:E11"/>
    <mergeCell ref="B12:E17"/>
    <mergeCell ref="A24:B24"/>
    <mergeCell ref="C25:E25"/>
    <mergeCell ref="C26:E26"/>
    <mergeCell ref="C1:E1"/>
    <mergeCell ref="C2:E2"/>
    <mergeCell ref="B5:E5"/>
    <mergeCell ref="A6:A9"/>
    <mergeCell ref="B6:E6"/>
    <mergeCell ref="B7:E7"/>
    <mergeCell ref="B8:E8"/>
    <mergeCell ref="B9:E9"/>
  </mergeCells>
  <dataValidations count="6">
    <dataValidation type="textLength" allowBlank="1" showInputMessage="1" showErrorMessage="1" sqref="C4" xr:uid="{B88F7363-5141-4E1F-A678-0169BE7802DE}">
      <formula1>0</formula1>
      <formula2>20</formula2>
    </dataValidation>
    <dataValidation type="list" allowBlank="1" showInputMessage="1" showErrorMessage="1" sqref="D24" xr:uid="{E173C535-C549-4424-95D9-0B376DB03705}">
      <formula1>"CHF,EUR"</formula1>
    </dataValidation>
    <dataValidation type="textLength" allowBlank="1" showInputMessage="1" showErrorMessage="1" sqref="B12 B11:E11" xr:uid="{AE1679BB-E6C4-4447-83F4-273467144086}">
      <formula1>0</formula1>
      <formula2>50</formula2>
    </dataValidation>
    <dataValidation operator="equal" allowBlank="1" showInputMessage="1" showErrorMessage="1" sqref="A24 C24" xr:uid="{5228C21D-625B-462B-95A8-032404721CAD}"/>
    <dataValidation type="textLength" operator="equal" allowBlank="1" showInputMessage="1" showErrorMessage="1" sqref="A19 A21:A23" xr:uid="{6FA596CF-1A91-46BA-8972-E5CD0B1CF09C}">
      <formula1>7</formula1>
    </dataValidation>
    <dataValidation type="textLength" allowBlank="1" showInputMessage="1" showErrorMessage="1" sqref="D4" xr:uid="{92670D4D-8F3B-4081-B61E-4D9CA1C7D136}">
      <formula1>0</formula1>
      <formula2>16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2"/>
  <sheetViews>
    <sheetView workbookViewId="0">
      <selection activeCell="A35" sqref="A35:E37"/>
    </sheetView>
  </sheetViews>
  <sheetFormatPr baseColWidth="10" defaultRowHeight="15" x14ac:dyDescent="0.25"/>
  <cols>
    <col min="1" max="1" width="15.28515625" bestFit="1" customWidth="1"/>
    <col min="2" max="32" width="10.140625" bestFit="1" customWidth="1"/>
  </cols>
  <sheetData>
    <row r="1" spans="1:32" x14ac:dyDescent="0.25">
      <c r="A1" t="s">
        <v>32</v>
      </c>
    </row>
    <row r="2" spans="1:32" x14ac:dyDescent="0.25">
      <c r="A2" s="1">
        <v>45658</v>
      </c>
      <c r="B2" s="2">
        <v>45658</v>
      </c>
      <c r="C2" s="2">
        <v>45659</v>
      </c>
      <c r="D2" s="2">
        <v>45660</v>
      </c>
      <c r="E2" s="2">
        <v>45661</v>
      </c>
      <c r="F2" s="2">
        <v>45662</v>
      </c>
      <c r="G2" s="2">
        <v>45663</v>
      </c>
      <c r="H2" s="2">
        <v>45664</v>
      </c>
      <c r="I2" s="2">
        <v>45665</v>
      </c>
      <c r="J2" s="2">
        <v>45666</v>
      </c>
      <c r="K2" s="2">
        <v>45667</v>
      </c>
      <c r="L2" s="2">
        <v>45668</v>
      </c>
      <c r="M2" s="2">
        <v>45669</v>
      </c>
      <c r="N2" s="2">
        <v>45670</v>
      </c>
      <c r="O2" s="2">
        <v>45671</v>
      </c>
      <c r="P2" s="2">
        <v>45672</v>
      </c>
      <c r="Q2" s="2">
        <v>45673</v>
      </c>
      <c r="R2" s="2">
        <v>45674</v>
      </c>
      <c r="S2" s="2">
        <v>45675</v>
      </c>
      <c r="T2" s="2">
        <v>45676</v>
      </c>
      <c r="U2" s="2">
        <v>45677</v>
      </c>
      <c r="V2" s="2">
        <v>45678</v>
      </c>
      <c r="W2" s="2">
        <v>45679</v>
      </c>
      <c r="X2" s="2">
        <v>45680</v>
      </c>
      <c r="Y2" s="2">
        <v>45681</v>
      </c>
      <c r="Z2" s="2">
        <v>45682</v>
      </c>
      <c r="AA2" s="2">
        <v>45683</v>
      </c>
      <c r="AB2" s="2">
        <v>45684</v>
      </c>
      <c r="AC2" s="2">
        <v>45685</v>
      </c>
      <c r="AD2" s="2">
        <v>45686</v>
      </c>
      <c r="AE2" s="2">
        <v>45687</v>
      </c>
      <c r="AF2" s="2">
        <v>45688</v>
      </c>
    </row>
    <row r="3" spans="1:32" x14ac:dyDescent="0.25">
      <c r="A3" s="1">
        <v>45689</v>
      </c>
      <c r="B3" s="2">
        <v>45689</v>
      </c>
      <c r="C3" s="2">
        <v>45690</v>
      </c>
      <c r="D3" s="2">
        <v>45691</v>
      </c>
      <c r="E3" s="2">
        <v>45692</v>
      </c>
      <c r="F3" s="2">
        <v>45693</v>
      </c>
      <c r="G3" s="2">
        <v>45694</v>
      </c>
      <c r="H3" s="2">
        <v>45695</v>
      </c>
      <c r="I3" s="2">
        <v>45696</v>
      </c>
      <c r="J3" s="2">
        <v>45697</v>
      </c>
      <c r="K3" s="2">
        <v>45698</v>
      </c>
      <c r="L3" s="2">
        <v>45699</v>
      </c>
      <c r="M3" s="2">
        <v>45700</v>
      </c>
      <c r="N3" s="2">
        <v>45701</v>
      </c>
      <c r="O3" s="2">
        <v>45702</v>
      </c>
      <c r="P3" s="2">
        <v>45703</v>
      </c>
      <c r="Q3" s="2">
        <v>45704</v>
      </c>
      <c r="R3" s="2">
        <v>45705</v>
      </c>
      <c r="S3" s="2">
        <v>45706</v>
      </c>
      <c r="T3" s="2">
        <v>45707</v>
      </c>
      <c r="U3" s="2">
        <v>45708</v>
      </c>
      <c r="V3" s="2">
        <v>45709</v>
      </c>
      <c r="W3" s="2">
        <v>45710</v>
      </c>
      <c r="X3" s="2">
        <v>45711</v>
      </c>
      <c r="Y3" s="2">
        <v>45712</v>
      </c>
      <c r="Z3" s="2">
        <v>45713</v>
      </c>
      <c r="AA3" s="2">
        <v>45714</v>
      </c>
      <c r="AB3" s="2">
        <v>45715</v>
      </c>
      <c r="AC3" s="2">
        <v>45716</v>
      </c>
      <c r="AD3" s="2"/>
      <c r="AE3" s="2" t="str">
        <f>""</f>
        <v/>
      </c>
      <c r="AF3" s="2" t="str">
        <f>""</f>
        <v/>
      </c>
    </row>
    <row r="4" spans="1:32" x14ac:dyDescent="0.25">
      <c r="A4" s="1">
        <v>45717</v>
      </c>
      <c r="B4" s="2">
        <v>45717</v>
      </c>
      <c r="C4" s="2">
        <v>45718</v>
      </c>
      <c r="D4" s="2">
        <v>45719</v>
      </c>
      <c r="E4" s="2">
        <v>45720</v>
      </c>
      <c r="F4" s="2">
        <v>45721</v>
      </c>
      <c r="G4" s="2">
        <v>45722</v>
      </c>
      <c r="H4" s="2">
        <v>45723</v>
      </c>
      <c r="I4" s="2">
        <v>45724</v>
      </c>
      <c r="J4" s="2">
        <v>45725</v>
      </c>
      <c r="K4" s="2">
        <v>45726</v>
      </c>
      <c r="L4" s="2">
        <v>45727</v>
      </c>
      <c r="M4" s="2">
        <v>45728</v>
      </c>
      <c r="N4" s="2">
        <v>45729</v>
      </c>
      <c r="O4" s="2">
        <v>45730</v>
      </c>
      <c r="P4" s="2">
        <v>45731</v>
      </c>
      <c r="Q4" s="2">
        <v>45732</v>
      </c>
      <c r="R4" s="2">
        <v>45733</v>
      </c>
      <c r="S4" s="2">
        <v>45734</v>
      </c>
      <c r="T4" s="2">
        <v>45735</v>
      </c>
      <c r="U4" s="2">
        <v>45736</v>
      </c>
      <c r="V4" s="2">
        <v>45737</v>
      </c>
      <c r="W4" s="2">
        <v>45738</v>
      </c>
      <c r="X4" s="2">
        <v>45739</v>
      </c>
      <c r="Y4" s="2">
        <v>45740</v>
      </c>
      <c r="Z4" s="2">
        <v>45741</v>
      </c>
      <c r="AA4" s="2">
        <v>45742</v>
      </c>
      <c r="AB4" s="2">
        <v>45743</v>
      </c>
      <c r="AC4" s="2">
        <v>45744</v>
      </c>
      <c r="AD4" s="2">
        <v>45745</v>
      </c>
      <c r="AE4" s="2">
        <v>45746</v>
      </c>
      <c r="AF4" s="2">
        <v>45747</v>
      </c>
    </row>
    <row r="5" spans="1:32" x14ac:dyDescent="0.25">
      <c r="A5" s="1">
        <v>45748</v>
      </c>
      <c r="B5" s="2">
        <v>45748</v>
      </c>
      <c r="C5" s="2">
        <v>45749</v>
      </c>
      <c r="D5" s="2">
        <v>45750</v>
      </c>
      <c r="E5" s="2">
        <v>45751</v>
      </c>
      <c r="F5" s="2">
        <v>45752</v>
      </c>
      <c r="G5" s="2">
        <v>45753</v>
      </c>
      <c r="H5" s="2">
        <v>45754</v>
      </c>
      <c r="I5" s="2">
        <v>45755</v>
      </c>
      <c r="J5" s="2">
        <v>45756</v>
      </c>
      <c r="K5" s="2">
        <v>45757</v>
      </c>
      <c r="L5" s="2">
        <v>45758</v>
      </c>
      <c r="M5" s="2">
        <v>45759</v>
      </c>
      <c r="N5" s="2">
        <v>45760</v>
      </c>
      <c r="O5" s="2">
        <v>45761</v>
      </c>
      <c r="P5" s="2">
        <v>45762</v>
      </c>
      <c r="Q5" s="2">
        <v>45763</v>
      </c>
      <c r="R5" s="2">
        <v>45764</v>
      </c>
      <c r="S5" s="2">
        <v>45765</v>
      </c>
      <c r="T5" s="2">
        <v>45766</v>
      </c>
      <c r="U5" s="2">
        <v>45767</v>
      </c>
      <c r="V5" s="2">
        <v>45768</v>
      </c>
      <c r="W5" s="2">
        <v>45769</v>
      </c>
      <c r="X5" s="2">
        <v>45770</v>
      </c>
      <c r="Y5" s="2">
        <v>45771</v>
      </c>
      <c r="Z5" s="2">
        <v>45772</v>
      </c>
      <c r="AA5" s="2">
        <v>45773</v>
      </c>
      <c r="AB5" s="2">
        <v>45774</v>
      </c>
      <c r="AC5" s="2">
        <v>45775</v>
      </c>
      <c r="AD5" s="2">
        <v>45776</v>
      </c>
      <c r="AE5" s="2">
        <v>45777</v>
      </c>
      <c r="AF5" s="2" t="str">
        <f>""</f>
        <v/>
      </c>
    </row>
    <row r="6" spans="1:32" x14ac:dyDescent="0.25">
      <c r="A6" s="1">
        <v>45778</v>
      </c>
      <c r="B6" s="2">
        <v>45778</v>
      </c>
      <c r="C6" s="2">
        <v>45779</v>
      </c>
      <c r="D6" s="2">
        <v>45780</v>
      </c>
      <c r="E6" s="2">
        <v>45781</v>
      </c>
      <c r="F6" s="2">
        <v>45782</v>
      </c>
      <c r="G6" s="2">
        <v>45783</v>
      </c>
      <c r="H6" s="2">
        <v>45784</v>
      </c>
      <c r="I6" s="2">
        <v>45785</v>
      </c>
      <c r="J6" s="2">
        <v>45786</v>
      </c>
      <c r="K6" s="2">
        <v>45787</v>
      </c>
      <c r="L6" s="2">
        <v>45788</v>
      </c>
      <c r="M6" s="2">
        <v>45789</v>
      </c>
      <c r="N6" s="2">
        <v>45790</v>
      </c>
      <c r="O6" s="2">
        <v>45791</v>
      </c>
      <c r="P6" s="2">
        <v>45792</v>
      </c>
      <c r="Q6" s="2">
        <v>45793</v>
      </c>
      <c r="R6" s="2">
        <v>45794</v>
      </c>
      <c r="S6" s="2">
        <v>45795</v>
      </c>
      <c r="T6" s="2">
        <v>45796</v>
      </c>
      <c r="U6" s="2">
        <v>45797</v>
      </c>
      <c r="V6" s="2">
        <v>45798</v>
      </c>
      <c r="W6" s="2">
        <v>45799</v>
      </c>
      <c r="X6" s="2">
        <v>45800</v>
      </c>
      <c r="Y6" s="2">
        <v>45801</v>
      </c>
      <c r="Z6" s="2">
        <v>45802</v>
      </c>
      <c r="AA6" s="2">
        <v>45803</v>
      </c>
      <c r="AB6" s="2">
        <v>45804</v>
      </c>
      <c r="AC6" s="2">
        <v>45805</v>
      </c>
      <c r="AD6" s="2">
        <v>45806</v>
      </c>
      <c r="AE6" s="2">
        <v>45807</v>
      </c>
      <c r="AF6" s="2">
        <v>45808</v>
      </c>
    </row>
    <row r="7" spans="1:32" x14ac:dyDescent="0.25">
      <c r="A7" s="1">
        <v>45809</v>
      </c>
      <c r="B7" s="2">
        <v>45809</v>
      </c>
      <c r="C7" s="2">
        <v>45810</v>
      </c>
      <c r="D7" s="2">
        <v>45811</v>
      </c>
      <c r="E7" s="2">
        <v>45812</v>
      </c>
      <c r="F7" s="2">
        <v>45813</v>
      </c>
      <c r="G7" s="2">
        <v>45814</v>
      </c>
      <c r="H7" s="2">
        <v>45815</v>
      </c>
      <c r="I7" s="2">
        <v>45816</v>
      </c>
      <c r="J7" s="2">
        <v>45817</v>
      </c>
      <c r="K7" s="2">
        <v>45818</v>
      </c>
      <c r="L7" s="2">
        <v>45819</v>
      </c>
      <c r="M7" s="2">
        <v>45820</v>
      </c>
      <c r="N7" s="2">
        <v>45821</v>
      </c>
      <c r="O7" s="2">
        <v>45822</v>
      </c>
      <c r="P7" s="2">
        <v>45823</v>
      </c>
      <c r="Q7" s="2">
        <v>45824</v>
      </c>
      <c r="R7" s="2">
        <v>45825</v>
      </c>
      <c r="S7" s="2">
        <v>45826</v>
      </c>
      <c r="T7" s="2">
        <v>45827</v>
      </c>
      <c r="U7" s="2">
        <v>45828</v>
      </c>
      <c r="V7" s="2">
        <v>45829</v>
      </c>
      <c r="W7" s="2">
        <v>45830</v>
      </c>
      <c r="X7" s="2">
        <v>45831</v>
      </c>
      <c r="Y7" s="2">
        <v>45832</v>
      </c>
      <c r="Z7" s="2">
        <v>45833</v>
      </c>
      <c r="AA7" s="2">
        <v>45834</v>
      </c>
      <c r="AB7" s="2">
        <v>45835</v>
      </c>
      <c r="AC7" s="2">
        <v>45836</v>
      </c>
      <c r="AD7" s="2">
        <v>45837</v>
      </c>
      <c r="AE7" s="2">
        <v>45838</v>
      </c>
      <c r="AF7" s="2" t="str">
        <f>""</f>
        <v/>
      </c>
    </row>
    <row r="8" spans="1:32" x14ac:dyDescent="0.25">
      <c r="A8" s="1">
        <v>45839</v>
      </c>
      <c r="B8" s="2">
        <v>45839</v>
      </c>
      <c r="C8" s="2">
        <v>45840</v>
      </c>
      <c r="D8" s="2">
        <v>45841</v>
      </c>
      <c r="E8" s="2">
        <v>45842</v>
      </c>
      <c r="F8" s="2">
        <v>45843</v>
      </c>
      <c r="G8" s="2">
        <v>45844</v>
      </c>
      <c r="H8" s="2">
        <v>45845</v>
      </c>
      <c r="I8" s="2">
        <v>45846</v>
      </c>
      <c r="J8" s="2">
        <v>45847</v>
      </c>
      <c r="K8" s="2">
        <v>45848</v>
      </c>
      <c r="L8" s="2">
        <v>45849</v>
      </c>
      <c r="M8" s="2">
        <v>45850</v>
      </c>
      <c r="N8" s="2">
        <v>45851</v>
      </c>
      <c r="O8" s="2">
        <v>45852</v>
      </c>
      <c r="P8" s="2">
        <v>45853</v>
      </c>
      <c r="Q8" s="2">
        <v>45854</v>
      </c>
      <c r="R8" s="2">
        <v>45855</v>
      </c>
      <c r="S8" s="2">
        <v>45856</v>
      </c>
      <c r="T8" s="2">
        <v>45857</v>
      </c>
      <c r="U8" s="2">
        <v>45858</v>
      </c>
      <c r="V8" s="2">
        <v>45859</v>
      </c>
      <c r="W8" s="2">
        <v>45860</v>
      </c>
      <c r="X8" s="2">
        <v>45861</v>
      </c>
      <c r="Y8" s="2">
        <v>45862</v>
      </c>
      <c r="Z8" s="2">
        <v>45863</v>
      </c>
      <c r="AA8" s="2">
        <v>45864</v>
      </c>
      <c r="AB8" s="2">
        <v>45865</v>
      </c>
      <c r="AC8" s="2">
        <v>45866</v>
      </c>
      <c r="AD8" s="2">
        <v>45867</v>
      </c>
      <c r="AE8" s="2">
        <v>45868</v>
      </c>
      <c r="AF8" s="2">
        <v>45869</v>
      </c>
    </row>
    <row r="9" spans="1:32" x14ac:dyDescent="0.25">
      <c r="A9" s="1">
        <v>45870</v>
      </c>
      <c r="B9" s="2">
        <v>45870</v>
      </c>
      <c r="C9" s="2">
        <v>45871</v>
      </c>
      <c r="D9" s="2">
        <v>45872</v>
      </c>
      <c r="E9" s="2">
        <v>45873</v>
      </c>
      <c r="F9" s="2">
        <v>45874</v>
      </c>
      <c r="G9" s="2">
        <v>45875</v>
      </c>
      <c r="H9" s="2">
        <v>45876</v>
      </c>
      <c r="I9" s="2">
        <v>45877</v>
      </c>
      <c r="J9" s="2">
        <v>45878</v>
      </c>
      <c r="K9" s="2">
        <v>45879</v>
      </c>
      <c r="L9" s="2">
        <v>45880</v>
      </c>
      <c r="M9" s="2">
        <v>45881</v>
      </c>
      <c r="N9" s="2">
        <v>45882</v>
      </c>
      <c r="O9" s="2">
        <v>45883</v>
      </c>
      <c r="P9" s="2">
        <v>45884</v>
      </c>
      <c r="Q9" s="2">
        <v>45885</v>
      </c>
      <c r="R9" s="2">
        <v>45886</v>
      </c>
      <c r="S9" s="2">
        <v>45887</v>
      </c>
      <c r="T9" s="2">
        <v>45888</v>
      </c>
      <c r="U9" s="2">
        <v>45889</v>
      </c>
      <c r="V9" s="2">
        <v>45890</v>
      </c>
      <c r="W9" s="2">
        <v>45891</v>
      </c>
      <c r="X9" s="2">
        <v>45892</v>
      </c>
      <c r="Y9" s="2">
        <v>45893</v>
      </c>
      <c r="Z9" s="2">
        <v>45894</v>
      </c>
      <c r="AA9" s="2">
        <v>45895</v>
      </c>
      <c r="AB9" s="2">
        <v>45896</v>
      </c>
      <c r="AC9" s="2">
        <v>45897</v>
      </c>
      <c r="AD9" s="2">
        <v>45898</v>
      </c>
      <c r="AE9" s="2">
        <v>45899</v>
      </c>
      <c r="AF9" s="2">
        <v>45900</v>
      </c>
    </row>
    <row r="10" spans="1:32" x14ac:dyDescent="0.25">
      <c r="A10" s="1">
        <v>45901</v>
      </c>
      <c r="B10" s="2">
        <v>45901</v>
      </c>
      <c r="C10" s="2">
        <v>45902</v>
      </c>
      <c r="D10" s="2">
        <v>45903</v>
      </c>
      <c r="E10" s="2">
        <v>45904</v>
      </c>
      <c r="F10" s="2">
        <v>45905</v>
      </c>
      <c r="G10" s="2">
        <v>45906</v>
      </c>
      <c r="H10" s="2">
        <v>45907</v>
      </c>
      <c r="I10" s="2">
        <v>45908</v>
      </c>
      <c r="J10" s="2">
        <v>45909</v>
      </c>
      <c r="K10" s="2">
        <v>45910</v>
      </c>
      <c r="L10" s="2">
        <v>45911</v>
      </c>
      <c r="M10" s="2">
        <v>45912</v>
      </c>
      <c r="N10" s="2">
        <v>45913</v>
      </c>
      <c r="O10" s="2">
        <v>45914</v>
      </c>
      <c r="P10" s="2">
        <v>45915</v>
      </c>
      <c r="Q10" s="2">
        <v>45916</v>
      </c>
      <c r="R10" s="2">
        <v>45917</v>
      </c>
      <c r="S10" s="2">
        <v>45918</v>
      </c>
      <c r="T10" s="2">
        <v>45919</v>
      </c>
      <c r="U10" s="2">
        <v>45920</v>
      </c>
      <c r="V10" s="2">
        <v>45921</v>
      </c>
      <c r="W10" s="2">
        <v>45922</v>
      </c>
      <c r="X10" s="2">
        <v>45923</v>
      </c>
      <c r="Y10" s="2">
        <v>45924</v>
      </c>
      <c r="Z10" s="2">
        <v>45925</v>
      </c>
      <c r="AA10" s="2">
        <v>45926</v>
      </c>
      <c r="AB10" s="2">
        <v>45927</v>
      </c>
      <c r="AC10" s="2">
        <v>45928</v>
      </c>
      <c r="AD10" s="2">
        <v>45929</v>
      </c>
      <c r="AE10" s="2">
        <v>45930</v>
      </c>
      <c r="AF10" s="2" t="str">
        <f>""</f>
        <v/>
      </c>
    </row>
    <row r="11" spans="1:32" x14ac:dyDescent="0.25">
      <c r="A11" s="1">
        <v>45931</v>
      </c>
      <c r="B11" s="2">
        <v>45931</v>
      </c>
      <c r="C11" s="2">
        <v>45932</v>
      </c>
      <c r="D11" s="2">
        <v>45933</v>
      </c>
      <c r="E11" s="2">
        <v>45934</v>
      </c>
      <c r="F11" s="2">
        <v>45935</v>
      </c>
      <c r="G11" s="2">
        <v>45936</v>
      </c>
      <c r="H11" s="2">
        <v>45937</v>
      </c>
      <c r="I11" s="2">
        <v>45938</v>
      </c>
      <c r="J11" s="2">
        <v>45939</v>
      </c>
      <c r="K11" s="2">
        <v>45940</v>
      </c>
      <c r="L11" s="2">
        <v>45941</v>
      </c>
      <c r="M11" s="2">
        <v>45942</v>
      </c>
      <c r="N11" s="2">
        <v>45943</v>
      </c>
      <c r="O11" s="2">
        <v>45944</v>
      </c>
      <c r="P11" s="2">
        <v>45945</v>
      </c>
      <c r="Q11" s="2">
        <v>45946</v>
      </c>
      <c r="R11" s="2">
        <v>45947</v>
      </c>
      <c r="S11" s="2">
        <v>45948</v>
      </c>
      <c r="T11" s="2">
        <v>45949</v>
      </c>
      <c r="U11" s="2">
        <v>45950</v>
      </c>
      <c r="V11" s="2">
        <v>45951</v>
      </c>
      <c r="W11" s="2">
        <v>45952</v>
      </c>
      <c r="X11" s="2">
        <v>45953</v>
      </c>
      <c r="Y11" s="2">
        <v>45954</v>
      </c>
      <c r="Z11" s="2">
        <v>45955</v>
      </c>
      <c r="AA11" s="2">
        <v>45956</v>
      </c>
      <c r="AB11" s="2">
        <v>45957</v>
      </c>
      <c r="AC11" s="2">
        <v>45958</v>
      </c>
      <c r="AD11" s="2">
        <v>45959</v>
      </c>
      <c r="AE11" s="2">
        <v>45960</v>
      </c>
      <c r="AF11" s="2">
        <v>45961</v>
      </c>
    </row>
    <row r="12" spans="1:32" x14ac:dyDescent="0.25">
      <c r="A12" s="1">
        <v>45962</v>
      </c>
      <c r="B12" s="2">
        <v>45962</v>
      </c>
      <c r="C12" s="2">
        <v>45963</v>
      </c>
      <c r="D12" s="2">
        <v>45964</v>
      </c>
      <c r="E12" s="2">
        <v>45965</v>
      </c>
      <c r="F12" s="2">
        <v>45966</v>
      </c>
      <c r="G12" s="2">
        <v>45967</v>
      </c>
      <c r="H12" s="2">
        <v>45968</v>
      </c>
      <c r="I12" s="2">
        <v>45969</v>
      </c>
      <c r="J12" s="2">
        <v>45970</v>
      </c>
      <c r="K12" s="2">
        <v>45971</v>
      </c>
      <c r="L12" s="2">
        <v>45972</v>
      </c>
      <c r="M12" s="2">
        <v>45973</v>
      </c>
      <c r="N12" s="2">
        <v>45974</v>
      </c>
      <c r="O12" s="2">
        <v>45975</v>
      </c>
      <c r="P12" s="2">
        <v>45976</v>
      </c>
      <c r="Q12" s="2">
        <v>45977</v>
      </c>
      <c r="R12" s="2">
        <v>45978</v>
      </c>
      <c r="S12" s="2">
        <v>45979</v>
      </c>
      <c r="T12" s="2">
        <v>45980</v>
      </c>
      <c r="U12" s="2">
        <v>45981</v>
      </c>
      <c r="V12" s="2">
        <v>45982</v>
      </c>
      <c r="W12" s="2">
        <v>45983</v>
      </c>
      <c r="X12" s="2">
        <v>45984</v>
      </c>
      <c r="Y12" s="2">
        <v>45985</v>
      </c>
      <c r="Z12" s="2">
        <v>45986</v>
      </c>
      <c r="AA12" s="2">
        <v>45987</v>
      </c>
      <c r="AB12" s="2">
        <v>45988</v>
      </c>
      <c r="AC12" s="2">
        <v>45989</v>
      </c>
      <c r="AD12" s="2">
        <v>45990</v>
      </c>
      <c r="AE12" s="2">
        <v>45991</v>
      </c>
      <c r="AF12" s="2" t="str">
        <f>""</f>
        <v/>
      </c>
    </row>
    <row r="13" spans="1:32" x14ac:dyDescent="0.25">
      <c r="A13" s="1">
        <v>45992</v>
      </c>
      <c r="B13" s="2">
        <v>45992</v>
      </c>
      <c r="C13" s="2">
        <v>45993</v>
      </c>
      <c r="D13" s="2">
        <v>45994</v>
      </c>
      <c r="E13" s="2">
        <v>45995</v>
      </c>
      <c r="F13" s="2">
        <v>45996</v>
      </c>
      <c r="G13" s="2">
        <v>45997</v>
      </c>
      <c r="H13" s="2">
        <v>45998</v>
      </c>
      <c r="I13" s="2">
        <v>45999</v>
      </c>
      <c r="J13" s="2">
        <v>46000</v>
      </c>
      <c r="K13" s="2">
        <v>46001</v>
      </c>
      <c r="L13" s="2">
        <v>46002</v>
      </c>
      <c r="M13" s="2">
        <v>46003</v>
      </c>
      <c r="N13" s="2">
        <v>46004</v>
      </c>
      <c r="O13" s="2">
        <v>46005</v>
      </c>
      <c r="P13" s="2">
        <v>46006</v>
      </c>
      <c r="Q13" s="2">
        <v>46007</v>
      </c>
      <c r="R13" s="2">
        <v>46008</v>
      </c>
      <c r="S13" s="2">
        <v>46009</v>
      </c>
      <c r="T13" s="2">
        <v>46010</v>
      </c>
      <c r="U13" s="2">
        <v>46011</v>
      </c>
      <c r="V13" s="2">
        <v>46012</v>
      </c>
      <c r="W13" s="2">
        <v>46013</v>
      </c>
      <c r="X13" s="2">
        <v>46014</v>
      </c>
      <c r="Y13" s="2">
        <v>46015</v>
      </c>
      <c r="Z13" s="2">
        <v>46016</v>
      </c>
      <c r="AA13" s="2">
        <v>46017</v>
      </c>
      <c r="AB13" s="2">
        <v>46018</v>
      </c>
      <c r="AC13" s="2">
        <v>46019</v>
      </c>
      <c r="AD13" s="2">
        <v>46020</v>
      </c>
      <c r="AE13" s="2">
        <v>46021</v>
      </c>
      <c r="AF13" s="2">
        <v>46022</v>
      </c>
    </row>
    <row r="21" spans="1:1" x14ac:dyDescent="0.25">
      <c r="A21" t="s">
        <v>33</v>
      </c>
    </row>
    <row r="22" spans="1:1" x14ac:dyDescent="0.25">
      <c r="A22">
        <v>15.35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Patientenbeteiligung 2025</vt:lpstr>
      <vt:lpstr>GEKO</vt:lpstr>
      <vt:lpstr>KWF Beleg</vt:lpstr>
      <vt:lpstr>Parameter</vt:lpstr>
      <vt:lpstr>GEKO!Druckbereich</vt:lpstr>
      <vt:lpstr>'KWF Beleg'!Druckbereich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Baumgartner Michèle</dc:creator>
  <cp:lastModifiedBy>Baumgartner Michèle</cp:lastModifiedBy>
  <cp:lastPrinted>2025-01-06T15:35:41Z</cp:lastPrinted>
  <dcterms:created xsi:type="dcterms:W3CDTF">2024-02-15T06:51:11Z</dcterms:created>
  <dcterms:modified xsi:type="dcterms:W3CDTF">2025-01-20T09:56:06Z</dcterms:modified>
</cp:coreProperties>
</file>