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ighaabru\Downloads\"/>
    </mc:Choice>
  </mc:AlternateContent>
  <xr:revisionPtr revIDLastSave="0" documentId="13_ncr:1_{150B3EFA-F773-485D-BAAA-5875D91C9867}" xr6:coauthVersionLast="47" xr6:coauthVersionMax="47" xr10:uidLastSave="{00000000-0000-0000-0000-000000000000}"/>
  <workbookProtection workbookAlgorithmName="SHA-512" workbookHashValue="VjhXG2scqB0U51njW3FZChRp2CZYgtHqTZSRD96d3QmsRVwf7C3Gf84GHF9f+Q3uQIfJ7opHPl4B9mCho3tsog==" workbookSaltValue="QrQmdg9NtJhseHfTyd9GDw==" workbookSpinCount="100000" lockStructure="1"/>
  <bookViews>
    <workbookView xWindow="-110" yWindow="-110" windowWidth="19420" windowHeight="10300" activeTab="2" xr2:uid="{00000000-000D-0000-FFFF-FFFF00000000}"/>
  </bookViews>
  <sheets>
    <sheet name="Patientenbeteiligung 2026" sheetId="1" r:id="rId1"/>
    <sheet name="GEKO" sheetId="3" r:id="rId2"/>
    <sheet name="KWF Beleg" sheetId="6" r:id="rId3"/>
    <sheet name="Parameter" sheetId="2" state="hidden" r:id="rId4"/>
  </sheets>
  <definedNames>
    <definedName name="_xlnm.Print_Area" localSheetId="1">GEKO!$A$1:$X$36</definedName>
    <definedName name="_xlnm.Print_Area" localSheetId="2">'KWF Beleg'!$A$1:$E$28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7" i="1" l="1"/>
  <c r="B27" i="1"/>
  <c r="B11" i="6"/>
  <c r="B8" i="6" l="1"/>
  <c r="B7" i="6"/>
  <c r="A20" i="6"/>
  <c r="F10" i="1"/>
  <c r="B9" i="6" s="1"/>
  <c r="A11" i="6"/>
  <c r="E4" i="6"/>
  <c r="B4" i="6"/>
  <c r="C58" i="1"/>
  <c r="C59" i="1"/>
  <c r="L20" i="3" s="1"/>
  <c r="K20" i="3"/>
  <c r="J20" i="3"/>
  <c r="I20" i="3"/>
  <c r="H20" i="3"/>
  <c r="E20" i="3" s="1"/>
  <c r="D3" i="3"/>
  <c r="B16" i="3"/>
  <c r="F20" i="3" s="1"/>
  <c r="D10" i="3"/>
  <c r="D9" i="3"/>
  <c r="B14" i="3"/>
  <c r="B13" i="3"/>
  <c r="B12" i="3"/>
  <c r="B11" i="3"/>
  <c r="B10" i="3"/>
  <c r="B9" i="3"/>
  <c r="D28" i="1"/>
  <c r="E28" i="1" s="1"/>
  <c r="D29" i="1"/>
  <c r="F29" i="1" s="1"/>
  <c r="D30" i="1"/>
  <c r="E30" i="1" s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AF12" i="2"/>
  <c r="AF10" i="2"/>
  <c r="AF7" i="2"/>
  <c r="AF5" i="2"/>
  <c r="AF3" i="2"/>
  <c r="AE3" i="2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E57" i="1"/>
  <c r="F56" i="1"/>
  <c r="E56" i="1"/>
  <c r="F55" i="1"/>
  <c r="E55" i="1"/>
  <c r="F54" i="1"/>
  <c r="E54" i="1"/>
  <c r="F53" i="1"/>
  <c r="E53" i="1"/>
  <c r="F52" i="1"/>
  <c r="E52" i="1"/>
  <c r="F51" i="1"/>
  <c r="E51" i="1"/>
  <c r="F50" i="1"/>
  <c r="E50" i="1"/>
  <c r="F49" i="1"/>
  <c r="E49" i="1"/>
  <c r="F48" i="1"/>
  <c r="E48" i="1"/>
  <c r="F47" i="1"/>
  <c r="E47" i="1"/>
  <c r="F46" i="1"/>
  <c r="E46" i="1"/>
  <c r="E45" i="1"/>
  <c r="F45" i="1"/>
  <c r="F44" i="1"/>
  <c r="E44" i="1"/>
  <c r="F43" i="1"/>
  <c r="E43" i="1"/>
  <c r="F42" i="1"/>
  <c r="E42" i="1"/>
  <c r="E41" i="1"/>
  <c r="F41" i="1"/>
  <c r="E40" i="1"/>
  <c r="F40" i="1"/>
  <c r="F39" i="1"/>
  <c r="E39" i="1"/>
  <c r="F38" i="1"/>
  <c r="E38" i="1"/>
  <c r="F37" i="1"/>
  <c r="E37" i="1"/>
  <c r="F36" i="1"/>
  <c r="E36" i="1"/>
  <c r="F35" i="1"/>
  <c r="E35" i="1"/>
  <c r="E34" i="1"/>
  <c r="F34" i="1"/>
  <c r="F33" i="1"/>
  <c r="E33" i="1"/>
  <c r="F32" i="1"/>
  <c r="E32" i="1"/>
  <c r="E31" i="1"/>
  <c r="F31" i="1"/>
  <c r="E29" i="1"/>
  <c r="E27" i="1"/>
  <c r="F27" i="1"/>
  <c r="B6" i="6" l="1"/>
  <c r="A20" i="3"/>
  <c r="G20" i="3"/>
  <c r="B20" i="3"/>
  <c r="F57" i="1"/>
  <c r="F30" i="1"/>
  <c r="F28" i="1"/>
  <c r="D20" i="3"/>
  <c r="X36" i="3"/>
  <c r="C20" i="3"/>
  <c r="D58" i="1"/>
  <c r="E58" i="1" l="1"/>
  <c r="F58" i="1" s="1"/>
  <c r="E19" i="6"/>
  <c r="E24" i="6" s="1"/>
  <c r="M20" i="3"/>
  <c r="X20" i="3" s="1"/>
  <c r="X21" i="3" s="1"/>
</calcChain>
</file>

<file path=xl/sharedStrings.xml><?xml version="1.0" encoding="utf-8"?>
<sst xmlns="http://schemas.openxmlformats.org/spreadsheetml/2006/main" count="132" uniqueCount="114">
  <si>
    <t>Name und Vorname Patient/in:</t>
  </si>
  <si>
    <t>Geb.-Datum Patient/in:</t>
  </si>
  <si>
    <t>Abrechnungs-Monat:</t>
  </si>
  <si>
    <t>Kalendertag</t>
  </si>
  <si>
    <t>Pflegeleistung in Minuten</t>
  </si>
  <si>
    <t>Beitrag Patient/in
CHF</t>
  </si>
  <si>
    <t>Beitrag Kanton
CHF</t>
  </si>
  <si>
    <t>Leistungsabgeltung
CHF</t>
  </si>
  <si>
    <t xml:space="preserve">Total </t>
  </si>
  <si>
    <t>Patientenbeteiligung ambulante Pflege im Kanton Solothurn</t>
  </si>
  <si>
    <t>AHV-Nr der Patient/in:</t>
  </si>
  <si>
    <t>Firma</t>
  </si>
  <si>
    <t>ORGANISATIONS NAME</t>
  </si>
  <si>
    <t>Name</t>
  </si>
  <si>
    <t>NAME Verantwortliche Person</t>
  </si>
  <si>
    <t>Vorname</t>
  </si>
  <si>
    <t>VORNAME Verantwortliche Person</t>
  </si>
  <si>
    <t>ZSR-Nr.</t>
  </si>
  <si>
    <t>S111111</t>
  </si>
  <si>
    <t>GLN</t>
  </si>
  <si>
    <t>Strasse Nr.</t>
  </si>
  <si>
    <t>Pflegestr. 1</t>
  </si>
  <si>
    <t>PLZ</t>
  </si>
  <si>
    <t>4500</t>
  </si>
  <si>
    <t>Ort</t>
  </si>
  <si>
    <t>Solothurn</t>
  </si>
  <si>
    <t>Telefon</t>
  </si>
  <si>
    <t>032 / xxx xx xx</t>
  </si>
  <si>
    <t>E-Mail</t>
  </si>
  <si>
    <t>pflege@so.ch</t>
  </si>
  <si>
    <t>IBAN</t>
  </si>
  <si>
    <t>Monate</t>
  </si>
  <si>
    <t>Patientenbeteiligung</t>
  </si>
  <si>
    <t>Rechnungsperiode</t>
  </si>
  <si>
    <t>Stunden</t>
  </si>
  <si>
    <t>Stundensätze</t>
  </si>
  <si>
    <t>Beträge in CHF</t>
  </si>
  <si>
    <t>Leistungsart</t>
  </si>
  <si>
    <t>ZSR</t>
  </si>
  <si>
    <t>Leistungserbringer</t>
  </si>
  <si>
    <t>RG-Periode</t>
  </si>
  <si>
    <t>AHV</t>
  </si>
  <si>
    <t>PLZ_Wohnsitz</t>
  </si>
  <si>
    <t>Ort_Wohnsitz</t>
  </si>
  <si>
    <t>PLZ Pflegeort</t>
  </si>
  <si>
    <t>Ort_Pflege</t>
  </si>
  <si>
    <t xml:space="preserve"> Pflegetage</t>
  </si>
  <si>
    <t xml:space="preserve"> Patienten-Beteiligung</t>
  </si>
  <si>
    <t>KLV A Std.
Abklärung und Beratung</t>
  </si>
  <si>
    <t>KLV B Std.
Untersuchung und Behandlung</t>
  </si>
  <si>
    <t>KLV C Std.
Grundpflege</t>
  </si>
  <si>
    <t xml:space="preserve"> Total Pflegezeit</t>
  </si>
  <si>
    <t>KLV A
Abklärung und Beratung</t>
  </si>
  <si>
    <t>KLV A 
Abklärung und Beratung</t>
  </si>
  <si>
    <t>KLV C Grundpflege</t>
  </si>
  <si>
    <t>KLV B
Untersuchung und  Behandlung</t>
  </si>
  <si>
    <t>KLV C
Grundpflege</t>
  </si>
  <si>
    <t>Total</t>
  </si>
  <si>
    <t>Total Restkosten</t>
  </si>
  <si>
    <t>CHF</t>
  </si>
  <si>
    <t>Achtung !!  -  Es wurden evtl. nicht alle Gemeinden übertragen. -  Melden Sie sich bei der Clearingstelle.</t>
  </si>
  <si>
    <t xml:space="preserve">● nur die Erfassung von Kunden mit zivilrechtlichem Wohnsitz im Kanton Solothurn </t>
  </si>
  <si>
    <t>● nur die Erfassung von Pflegeleistungen nach KVG</t>
  </si>
  <si>
    <t xml:space="preserve">● nur die Erfassung von Pflegeleistungen gemäss KLV </t>
  </si>
  <si>
    <t>● die Übereinstimmung der Softwareprogrammierung / Leistungserfassung</t>
  </si>
  <si>
    <t xml:space="preserve">● die Abrechnung der Patientenbeteiligung </t>
  </si>
  <si>
    <t>Bitte fügen Sie der Email einen eingescannten Einzahlungsschein bei. Besten Dank.</t>
  </si>
  <si>
    <t>Leistungserbringer / Rechnungssteller</t>
  </si>
  <si>
    <t>Wohnsitz</t>
  </si>
  <si>
    <t>Pflegeort</t>
  </si>
  <si>
    <t>Muster Tina</t>
  </si>
  <si>
    <t>Anzahl Pflegetage</t>
  </si>
  <si>
    <t>756.0000.0000.00</t>
  </si>
  <si>
    <t>7676767676767</t>
  </si>
  <si>
    <t>CH1111111111111111111</t>
  </si>
  <si>
    <t>Kontrolle:</t>
  </si>
  <si>
    <t>Datum:</t>
  </si>
  <si>
    <t>Visum:</t>
  </si>
  <si>
    <t>Kreditorenbeleg SAP</t>
  </si>
  <si>
    <t>Buchungskreis</t>
  </si>
  <si>
    <t>Rechnungsdatum</t>
  </si>
  <si>
    <t>Bankname, Ort</t>
  </si>
  <si>
    <t>ESR-Teilnehmer-Nr. oder QR-IBAN mit Referenz (Einzahlungsschein/QR-Zahlteil dazu legen)</t>
  </si>
  <si>
    <t>Kostenstelle / Auftrag</t>
  </si>
  <si>
    <t>Total Betrag</t>
  </si>
  <si>
    <t>VIM-CH-AAxxxxxx</t>
  </si>
  <si>
    <t>Dienststelle</t>
  </si>
  <si>
    <t>Rechnungsnummer 
(max.16 Zeichen)</t>
  </si>
  <si>
    <t>Anford.-Referenz</t>
  </si>
  <si>
    <t>DDI, GESA, Clearingstelle ambulante Pflegeleistungen</t>
  </si>
  <si>
    <t>REF-025-IGSAABAJ</t>
  </si>
  <si>
    <r>
      <t xml:space="preserve">Kreditor / Empfänger </t>
    </r>
    <r>
      <rPr>
        <sz val="11"/>
        <rFont val="Frutiger 55 Roman"/>
      </rPr>
      <t>(Nachname / Vorname)</t>
    </r>
  </si>
  <si>
    <t>Kred.-IBAN-Nummer - QR-IBAN 
ohne Ref. oder Kred.-QR-IBAN 
mit SCOR-Ref.</t>
  </si>
  <si>
    <t>Zahlungsgrund  (max.50 Zeichen als Buchungstext möglich)</t>
  </si>
  <si>
    <t>Zahlungsbedingungen</t>
  </si>
  <si>
    <t>Kontierung / Kostenart (optional)</t>
  </si>
  <si>
    <t>PSP-Element</t>
  </si>
  <si>
    <t>Betrag</t>
  </si>
  <si>
    <r>
      <t xml:space="preserve">sachliches und rechnerisches Visum Leistungsempfänger
</t>
    </r>
    <r>
      <rPr>
        <sz val="11"/>
        <rFont val="Frutiger 55 Roman"/>
      </rPr>
      <t>Prüfer 1A, 1B, 1C</t>
    </r>
  </si>
  <si>
    <t>leer lassen</t>
  </si>
  <si>
    <t>wird im Workflow genehmigt</t>
  </si>
  <si>
    <r>
      <t xml:space="preserve">Visum gem. Kompetenzregelung Departement
</t>
    </r>
    <r>
      <rPr>
        <sz val="11"/>
        <rFont val="Frutiger 55 Roman"/>
      </rPr>
      <t xml:space="preserve">Freigabe komp. Stufe II, III, etc. </t>
    </r>
  </si>
  <si>
    <t>Version 1.0</t>
  </si>
  <si>
    <t>Kontoinhaber</t>
  </si>
  <si>
    <t>14 Tage netto</t>
  </si>
  <si>
    <t>K 2026 PB</t>
  </si>
  <si>
    <t xml:space="preserve">Aufstellung der Patientenbeteiligung </t>
  </si>
  <si>
    <t>(Übernahme durch Kanton gemäss den Richtlinien der Schweizerischen Konferenz für Sozialhilfe (SKOS))</t>
  </si>
  <si>
    <t>QR?</t>
  </si>
  <si>
    <t>(bei Sozialhilfeempfänger/-innen)</t>
  </si>
  <si>
    <t>Sammelrechnung für Patientenbeteiligung bei Sozialhilfeempfänger/-innen</t>
  </si>
  <si>
    <t>Leistungserbringung bei Sozialhilfeempfänger/-innen</t>
  </si>
  <si>
    <r>
      <t xml:space="preserve">Mit der Rechnungsstellung per Email an die Adresse </t>
    </r>
    <r>
      <rPr>
        <b/>
        <u/>
        <sz val="11"/>
        <rFont val="Frutiger LT Com 55 Roman"/>
        <family val="2"/>
      </rPr>
      <t>restkosten-ambulant@ddi.so.ch</t>
    </r>
    <r>
      <rPr>
        <b/>
        <sz val="11"/>
        <rFont val="Frutiger LT Com 55 Roman"/>
        <family val="2"/>
      </rPr>
      <t xml:space="preserve"> bestätigen Sie die Richtigkeit
der Abrechnung, insbesondere:</t>
    </r>
  </si>
  <si>
    <r>
      <t xml:space="preserve">Bitte senden Sie diese Abrechnungsdatei (Excel) per Email an </t>
    </r>
    <r>
      <rPr>
        <b/>
        <u/>
        <sz val="11"/>
        <rFont val="Frutiger LT Com 55 Roman"/>
        <family val="2"/>
      </rPr>
      <t xml:space="preserve">restkosten-ambulant@ddi.so.ch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</si>
</sst>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mmmm\ yyyy"/>
    <numFmt numFmtId="165" formatCode="#,##0.0"/>
    <numFmt numFmtId="166" formatCode="dd/mm/yy"/>
    <numFmt numFmtId="167" formatCode="&quot; SFr. &quot;#,##0.00\ ;&quot; SFr. -&quot;#,##0.00\ ;&quot; SFr. -&quot;#\ ;@\ "/>
    <numFmt numFmtId="168" formatCode="000"/>
  </numFmts>
  <fonts count="2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Frutiger 55 Roman"/>
      <family val="2"/>
    </font>
    <font>
      <b/>
      <sz val="20"/>
      <name val="Frutiger 55 Roman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Frutiger 55 Roman"/>
      <family val="2"/>
    </font>
    <font>
      <sz val="11"/>
      <name val="Frutiger 55 Roman"/>
    </font>
    <font>
      <b/>
      <sz val="16"/>
      <color theme="1"/>
      <name val="Frutiger LT Com 55 Roman"/>
      <family val="2"/>
    </font>
    <font>
      <sz val="10"/>
      <color theme="1"/>
      <name val="Frutiger LT Com 55 Roman"/>
      <family val="2"/>
    </font>
    <font>
      <sz val="11"/>
      <color theme="1"/>
      <name val="Frutiger LT Com 55 Roman"/>
      <family val="2"/>
    </font>
    <font>
      <b/>
      <sz val="10"/>
      <color rgb="FFFF0000"/>
      <name val="Frutiger LT Com 55 Roman"/>
      <family val="2"/>
    </font>
    <font>
      <b/>
      <sz val="12"/>
      <color theme="1"/>
      <name val="Frutiger LT Com 55 Roman"/>
      <family val="2"/>
    </font>
    <font>
      <b/>
      <sz val="11"/>
      <color theme="1"/>
      <name val="Frutiger LT Com 55 Roman"/>
      <family val="2"/>
    </font>
    <font>
      <sz val="11"/>
      <name val="Frutiger LT Com 55 Roman"/>
      <family val="2"/>
    </font>
    <font>
      <sz val="12"/>
      <name val="Frutiger LT Com 55 Roman"/>
      <family val="2"/>
    </font>
    <font>
      <b/>
      <sz val="14"/>
      <color theme="0"/>
      <name val="Frutiger LT Com 55 Roman"/>
      <family val="2"/>
    </font>
    <font>
      <b/>
      <sz val="11"/>
      <name val="Frutiger LT Com 55 Roman"/>
      <family val="2"/>
    </font>
    <font>
      <b/>
      <u/>
      <sz val="11"/>
      <name val="Frutiger LT Com 55 Roman"/>
      <family val="2"/>
    </font>
    <font>
      <sz val="16"/>
      <name val="Frutiger LT Com 55 Roman"/>
      <family val="2"/>
    </font>
    <font>
      <sz val="16"/>
      <color theme="1"/>
      <name val="Frutiger LT Com 55 Roman"/>
      <family val="2"/>
    </font>
    <font>
      <b/>
      <sz val="14"/>
      <name val="Frutiger LT Com 55 Roman"/>
      <family val="2"/>
    </font>
    <font>
      <sz val="10"/>
      <name val="Frutiger LT Com 55 Roman"/>
      <family val="2"/>
    </font>
    <font>
      <b/>
      <sz val="10"/>
      <name val="Frutiger LT Com 55 Roman"/>
      <family val="2"/>
    </font>
    <font>
      <sz val="12"/>
      <color theme="1"/>
      <name val="Frutiger LT Com 55 Roman"/>
      <family val="2"/>
    </font>
    <font>
      <u/>
      <sz val="11"/>
      <color theme="10"/>
      <name val="Frutiger LT Com 55 Roman"/>
      <family val="2"/>
    </font>
    <font>
      <sz val="10"/>
      <color theme="0"/>
      <name val="Frutiger LT Com 55 Roman"/>
      <family val="2"/>
    </font>
    <font>
      <b/>
      <sz val="10"/>
      <color theme="0"/>
      <name val="Frutiger LT Com 55 Roman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31"/>
      </patternFill>
    </fill>
    <fill>
      <patternFill patternType="solid">
        <fgColor theme="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8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/>
    <xf numFmtId="0" fontId="1" fillId="0" borderId="0"/>
    <xf numFmtId="167" fontId="1" fillId="0" borderId="0" applyFill="0" applyBorder="0" applyAlignment="0" applyProtection="0"/>
  </cellStyleXfs>
  <cellXfs count="157">
    <xf numFmtId="0" fontId="0" fillId="0" borderId="0" xfId="0"/>
    <xf numFmtId="164" fontId="0" fillId="0" borderId="0" xfId="0" applyNumberFormat="1"/>
    <xf numFmtId="14" fontId="0" fillId="0" borderId="0" xfId="0" applyNumberFormat="1"/>
    <xf numFmtId="0" fontId="7" fillId="0" borderId="15" xfId="0" applyFont="1" applyBorder="1" applyAlignment="1" applyProtection="1">
      <alignment horizontal="left" vertical="center" indent="1"/>
      <protection locked="0"/>
    </xf>
    <xf numFmtId="4" fontId="7" fillId="0" borderId="11" xfId="5" applyNumberFormat="1" applyFont="1" applyFill="1" applyBorder="1" applyAlignment="1" applyProtection="1">
      <alignment horizontal="right" vertical="center"/>
    </xf>
    <xf numFmtId="0" fontId="3" fillId="0" borderId="6" xfId="0" applyFont="1" applyBorder="1" applyAlignment="1">
      <alignment horizontal="left" vertical="top" indent="1"/>
    </xf>
    <xf numFmtId="0" fontId="3" fillId="0" borderId="25" xfId="0" applyFont="1" applyBorder="1" applyAlignment="1">
      <alignment vertical="top"/>
    </xf>
    <xf numFmtId="0" fontId="3" fillId="0" borderId="10" xfId="0" applyFont="1" applyBorder="1" applyAlignment="1">
      <alignment vertical="top"/>
    </xf>
    <xf numFmtId="0" fontId="3" fillId="0" borderId="23" xfId="0" applyFont="1" applyBorder="1" applyAlignment="1">
      <alignment vertical="top"/>
    </xf>
    <xf numFmtId="0" fontId="7" fillId="4" borderId="12" xfId="0" applyFont="1" applyFill="1" applyBorder="1" applyAlignment="1">
      <alignment horizontal="left" vertical="center" indent="1"/>
    </xf>
    <xf numFmtId="0" fontId="7" fillId="4" borderId="16" xfId="0" applyFont="1" applyFill="1" applyBorder="1" applyAlignment="1">
      <alignment horizontal="left" vertical="center" wrapText="1" indent="1"/>
    </xf>
    <xf numFmtId="0" fontId="7" fillId="4" borderId="10" xfId="0" applyFont="1" applyFill="1" applyBorder="1" applyAlignment="1">
      <alignment horizontal="left" vertical="center" wrapText="1" indent="1"/>
    </xf>
    <xf numFmtId="0" fontId="7" fillId="4" borderId="26" xfId="0" applyFont="1" applyFill="1" applyBorder="1" applyAlignment="1">
      <alignment horizontal="left" vertical="center" wrapText="1" indent="1"/>
    </xf>
    <xf numFmtId="0" fontId="7" fillId="4" borderId="11" xfId="0" applyFont="1" applyFill="1" applyBorder="1" applyAlignment="1">
      <alignment horizontal="left" vertical="center" indent="1"/>
    </xf>
    <xf numFmtId="0" fontId="7" fillId="0" borderId="12" xfId="0" applyFont="1" applyBorder="1" applyAlignment="1">
      <alignment horizontal="left" vertical="center" indent="1"/>
    </xf>
    <xf numFmtId="0" fontId="7" fillId="0" borderId="15" xfId="0" applyFont="1" applyBorder="1" applyAlignment="1">
      <alignment horizontal="left" vertical="center" indent="1"/>
    </xf>
    <xf numFmtId="0" fontId="7" fillId="0" borderId="23" xfId="0" applyFont="1" applyBorder="1" applyAlignment="1">
      <alignment horizontal="left" vertical="center" indent="1"/>
    </xf>
    <xf numFmtId="14" fontId="7" fillId="0" borderId="9" xfId="0" applyNumberFormat="1" applyFont="1" applyBorder="1" applyAlignment="1">
      <alignment horizontal="left" vertical="center" indent="1"/>
    </xf>
    <xf numFmtId="0" fontId="7" fillId="4" borderId="15" xfId="0" applyFont="1" applyFill="1" applyBorder="1" applyAlignment="1">
      <alignment horizontal="left" vertical="center" indent="1"/>
    </xf>
    <xf numFmtId="0" fontId="7" fillId="5" borderId="12" xfId="0" applyFont="1" applyFill="1" applyBorder="1" applyAlignment="1">
      <alignment horizontal="left" vertical="center" wrapText="1" indent="1"/>
    </xf>
    <xf numFmtId="49" fontId="7" fillId="0" borderId="12" xfId="0" applyNumberFormat="1" applyFont="1" applyBorder="1" applyAlignment="1">
      <alignment horizontal="left" vertical="center" indent="1"/>
    </xf>
    <xf numFmtId="0" fontId="7" fillId="0" borderId="12" xfId="0" applyFont="1" applyBorder="1" applyAlignment="1">
      <alignment horizontal="left" vertical="center" wrapText="1" indent="1"/>
    </xf>
    <xf numFmtId="0" fontId="7" fillId="0" borderId="12" xfId="0" applyFont="1" applyBorder="1" applyAlignment="1">
      <alignment horizontal="center" vertical="center"/>
    </xf>
    <xf numFmtId="0" fontId="7" fillId="4" borderId="17" xfId="0" applyFont="1" applyFill="1" applyBorder="1" applyAlignment="1">
      <alignment horizontal="left" vertical="center" indent="1"/>
    </xf>
    <xf numFmtId="0" fontId="7" fillId="4" borderId="17" xfId="0" applyFont="1" applyFill="1" applyBorder="1" applyAlignment="1">
      <alignment horizontal="right" vertical="center"/>
    </xf>
    <xf numFmtId="0" fontId="7" fillId="0" borderId="2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4" fontId="7" fillId="0" borderId="7" xfId="5" applyNumberFormat="1" applyFont="1" applyFill="1" applyBorder="1" applyAlignment="1" applyProtection="1">
      <alignment horizontal="right" vertical="center"/>
    </xf>
    <xf numFmtId="0" fontId="7" fillId="0" borderId="15" xfId="0" applyFont="1" applyBorder="1" applyAlignment="1">
      <alignment horizontal="center" vertical="center"/>
    </xf>
    <xf numFmtId="4" fontId="7" fillId="0" borderId="17" xfId="5" applyNumberFormat="1" applyFont="1" applyFill="1" applyBorder="1" applyAlignment="1" applyProtection="1">
      <alignment horizontal="right" vertical="center"/>
    </xf>
    <xf numFmtId="0" fontId="7" fillId="0" borderId="13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5" xfId="0" applyFont="1" applyBorder="1" applyAlignment="1">
      <alignment vertical="center"/>
    </xf>
    <xf numFmtId="0" fontId="7" fillId="4" borderId="17" xfId="0" applyFont="1" applyFill="1" applyBorder="1" applyAlignment="1">
      <alignment horizontal="center" vertical="center"/>
    </xf>
    <xf numFmtId="166" fontId="7" fillId="0" borderId="17" xfId="0" applyNumberFormat="1" applyFont="1" applyBorder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horizontal="left" vertical="center"/>
    </xf>
    <xf numFmtId="0" fontId="14" fillId="0" borderId="0" xfId="0" applyFont="1"/>
    <xf numFmtId="0" fontId="11" fillId="0" borderId="0" xfId="0" applyFont="1" applyAlignment="1">
      <alignment horizontal="center"/>
    </xf>
    <xf numFmtId="49" fontId="14" fillId="2" borderId="0" xfId="0" applyNumberFormat="1" applyFont="1" applyFill="1" applyAlignment="1">
      <alignment horizontal="left" indent="1"/>
    </xf>
    <xf numFmtId="49" fontId="11" fillId="0" borderId="0" xfId="0" applyNumberFormat="1" applyFont="1" applyAlignment="1">
      <alignment horizontal="left" indent="1"/>
    </xf>
    <xf numFmtId="49" fontId="14" fillId="0" borderId="0" xfId="0" applyNumberFormat="1" applyFont="1" applyAlignment="1">
      <alignment horizontal="left"/>
    </xf>
    <xf numFmtId="49" fontId="11" fillId="0" borderId="0" xfId="0" applyNumberFormat="1" applyFont="1" applyAlignment="1">
      <alignment horizontal="left"/>
    </xf>
    <xf numFmtId="0" fontId="11" fillId="0" borderId="0" xfId="0" applyFont="1" applyAlignment="1">
      <alignment vertical="center" wrapText="1"/>
    </xf>
    <xf numFmtId="14" fontId="14" fillId="2" borderId="0" xfId="0" applyNumberFormat="1" applyFont="1" applyFill="1" applyAlignment="1">
      <alignment horizontal="left" vertical="center" indent="1"/>
    </xf>
    <xf numFmtId="0" fontId="11" fillId="0" borderId="0" xfId="0" applyFont="1" applyAlignment="1">
      <alignment horizontal="left" vertical="center" indent="1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vertical="center"/>
    </xf>
    <xf numFmtId="0" fontId="10" fillId="2" borderId="1" xfId="0" applyFont="1" applyFill="1" applyBorder="1" applyAlignment="1">
      <alignment horizontal="center" textRotation="90" wrapText="1"/>
    </xf>
    <xf numFmtId="0" fontId="15" fillId="2" borderId="1" xfId="4" applyFont="1" applyFill="1" applyBorder="1" applyAlignment="1">
      <alignment horizontal="center" textRotation="90"/>
    </xf>
    <xf numFmtId="0" fontId="15" fillId="2" borderId="1" xfId="4" applyFont="1" applyFill="1" applyBorder="1" applyAlignment="1">
      <alignment horizontal="center" textRotation="90" wrapText="1"/>
    </xf>
    <xf numFmtId="0" fontId="16" fillId="2" borderId="1" xfId="4" applyFont="1" applyFill="1" applyBorder="1" applyAlignment="1">
      <alignment horizontal="center" textRotation="90" wrapText="1"/>
    </xf>
    <xf numFmtId="0" fontId="10" fillId="0" borderId="1" xfId="0" quotePrefix="1" applyFont="1" applyBorder="1"/>
    <xf numFmtId="14" fontId="10" fillId="0" borderId="1" xfId="0" quotePrefix="1" applyNumberFormat="1" applyFont="1" applyBorder="1"/>
    <xf numFmtId="3" fontId="10" fillId="0" borderId="1" xfId="0" quotePrefix="1" applyNumberFormat="1" applyFont="1" applyBorder="1"/>
    <xf numFmtId="4" fontId="10" fillId="0" borderId="1" xfId="0" quotePrefix="1" applyNumberFormat="1" applyFont="1" applyBorder="1"/>
    <xf numFmtId="43" fontId="10" fillId="0" borderId="1" xfId="1" applyFont="1" applyBorder="1" applyProtection="1"/>
    <xf numFmtId="43" fontId="10" fillId="0" borderId="3" xfId="1" applyFont="1" applyBorder="1" applyProtection="1"/>
    <xf numFmtId="0" fontId="14" fillId="2" borderId="18" xfId="0" applyFont="1" applyFill="1" applyBorder="1" applyAlignment="1">
      <alignment vertical="center"/>
    </xf>
    <xf numFmtId="0" fontId="14" fillId="2" borderId="19" xfId="0" applyFont="1" applyFill="1" applyBorder="1" applyAlignment="1">
      <alignment vertical="center"/>
    </xf>
    <xf numFmtId="0" fontId="11" fillId="2" borderId="19" xfId="0" applyFont="1" applyFill="1" applyBorder="1" applyAlignment="1">
      <alignment vertical="center"/>
    </xf>
    <xf numFmtId="0" fontId="14" fillId="2" borderId="19" xfId="0" applyFont="1" applyFill="1" applyBorder="1" applyAlignment="1">
      <alignment horizontal="right" vertical="center"/>
    </xf>
    <xf numFmtId="2" fontId="14" fillId="2" borderId="20" xfId="0" applyNumberFormat="1" applyFont="1" applyFill="1" applyBorder="1" applyAlignment="1">
      <alignment vertical="center"/>
    </xf>
    <xf numFmtId="0" fontId="18" fillId="0" borderId="0" xfId="3" applyFont="1"/>
    <xf numFmtId="0" fontId="15" fillId="0" borderId="0" xfId="4" applyFont="1"/>
    <xf numFmtId="0" fontId="15" fillId="0" borderId="0" xfId="3" applyFont="1" applyAlignment="1">
      <alignment horizontal="left"/>
    </xf>
    <xf numFmtId="0" fontId="15" fillId="0" borderId="0" xfId="3" applyFont="1" applyAlignment="1">
      <alignment wrapText="1"/>
    </xf>
    <xf numFmtId="0" fontId="15" fillId="0" borderId="0" xfId="3" applyFont="1" applyAlignment="1">
      <alignment vertical="center" wrapText="1"/>
    </xf>
    <xf numFmtId="0" fontId="15" fillId="0" borderId="0" xfId="3" applyFont="1" applyAlignment="1">
      <alignment vertical="center"/>
    </xf>
    <xf numFmtId="0" fontId="15" fillId="0" borderId="0" xfId="3" applyFont="1" applyAlignment="1">
      <alignment horizontal="right" indent="1"/>
    </xf>
    <xf numFmtId="0" fontId="20" fillId="0" borderId="0" xfId="4" applyFont="1"/>
    <xf numFmtId="0" fontId="21" fillId="0" borderId="0" xfId="0" applyFont="1"/>
    <xf numFmtId="0" fontId="22" fillId="0" borderId="0" xfId="0" applyFont="1" applyAlignment="1">
      <alignment horizontal="left" wrapText="1"/>
    </xf>
    <xf numFmtId="0" fontId="11" fillId="0" borderId="0" xfId="0" applyFont="1" applyAlignment="1">
      <alignment wrapText="1"/>
    </xf>
    <xf numFmtId="0" fontId="23" fillId="0" borderId="0" xfId="0" applyFont="1" applyAlignment="1">
      <alignment horizontal="left"/>
    </xf>
    <xf numFmtId="0" fontId="24" fillId="0" borderId="0" xfId="0" applyFont="1" applyAlignment="1">
      <alignment horizontal="left" wrapText="1"/>
    </xf>
    <xf numFmtId="0" fontId="10" fillId="0" borderId="0" xfId="0" applyFont="1" applyAlignment="1">
      <alignment horizontal="left"/>
    </xf>
    <xf numFmtId="0" fontId="25" fillId="0" borderId="0" xfId="0" applyFont="1"/>
    <xf numFmtId="49" fontId="25" fillId="2" borderId="0" xfId="0" applyNumberFormat="1" applyFont="1" applyFill="1" applyProtection="1">
      <protection locked="0"/>
    </xf>
    <xf numFmtId="49" fontId="25" fillId="2" borderId="0" xfId="0" applyNumberFormat="1" applyFont="1" applyFill="1"/>
    <xf numFmtId="49" fontId="26" fillId="2" borderId="0" xfId="2" applyNumberFormat="1" applyFont="1" applyFill="1" applyAlignment="1" applyProtection="1">
      <protection locked="0"/>
    </xf>
    <xf numFmtId="0" fontId="11" fillId="0" borderId="0" xfId="0" applyFont="1" applyAlignment="1">
      <alignment vertical="top"/>
    </xf>
    <xf numFmtId="0" fontId="11" fillId="0" borderId="0" xfId="0" applyFont="1" applyAlignment="1">
      <alignment vertical="center"/>
    </xf>
    <xf numFmtId="0" fontId="23" fillId="0" borderId="0" xfId="0" applyFont="1" applyAlignment="1">
      <alignment horizontal="left" vertical="top" wrapText="1"/>
    </xf>
    <xf numFmtId="49" fontId="24" fillId="2" borderId="4" xfId="0" applyNumberFormat="1" applyFont="1" applyFill="1" applyBorder="1" applyAlignment="1" applyProtection="1">
      <alignment vertical="center"/>
      <protection locked="0"/>
    </xf>
    <xf numFmtId="49" fontId="24" fillId="2" borderId="5" xfId="0" applyNumberFormat="1" applyFont="1" applyFill="1" applyBorder="1" applyAlignment="1">
      <alignment vertical="center"/>
    </xf>
    <xf numFmtId="49" fontId="24" fillId="2" borderId="4" xfId="0" applyNumberFormat="1" applyFont="1" applyFill="1" applyBorder="1" applyAlignment="1" applyProtection="1">
      <alignment horizontal="left" vertical="center"/>
      <protection locked="0"/>
    </xf>
    <xf numFmtId="49" fontId="24" fillId="2" borderId="5" xfId="0" applyNumberFormat="1" applyFont="1" applyFill="1" applyBorder="1" applyAlignment="1" applyProtection="1">
      <alignment horizontal="left" vertical="center"/>
      <protection locked="0"/>
    </xf>
    <xf numFmtId="0" fontId="23" fillId="0" borderId="0" xfId="0" applyFont="1" applyAlignment="1">
      <alignment vertical="top"/>
    </xf>
    <xf numFmtId="14" fontId="23" fillId="0" borderId="0" xfId="0" applyNumberFormat="1" applyFont="1"/>
    <xf numFmtId="14" fontId="24" fillId="2" borderId="1" xfId="0" applyNumberFormat="1" applyFont="1" applyFill="1" applyBorder="1" applyAlignment="1" applyProtection="1">
      <alignment horizontal="left" vertical="center"/>
      <protection locked="0"/>
    </xf>
    <xf numFmtId="0" fontId="23" fillId="0" borderId="0" xfId="0" applyFont="1"/>
    <xf numFmtId="0" fontId="11" fillId="0" borderId="0" xfId="0" applyFont="1" applyAlignment="1">
      <alignment horizontal="left" vertical="center"/>
    </xf>
    <xf numFmtId="164" fontId="24" fillId="2" borderId="1" xfId="0" applyNumberFormat="1" applyFont="1" applyFill="1" applyBorder="1" applyAlignment="1" applyProtection="1">
      <alignment horizontal="left" vertical="center"/>
      <protection locked="0"/>
    </xf>
    <xf numFmtId="0" fontId="24" fillId="0" borderId="0" xfId="0" applyFont="1"/>
    <xf numFmtId="0" fontId="23" fillId="0" borderId="1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/>
    </xf>
    <xf numFmtId="3" fontId="10" fillId="2" borderId="1" xfId="0" applyNumberFormat="1" applyFont="1" applyFill="1" applyBorder="1" applyAlignment="1" applyProtection="1">
      <alignment horizontal="center" vertical="center"/>
      <protection locked="0"/>
    </xf>
    <xf numFmtId="4" fontId="23" fillId="0" borderId="1" xfId="0" applyNumberFormat="1" applyFont="1" applyBorder="1" applyAlignment="1">
      <alignment horizontal="center" vertical="center"/>
    </xf>
    <xf numFmtId="4" fontId="27" fillId="0" borderId="2" xfId="0" applyNumberFormat="1" applyFont="1" applyBorder="1" applyAlignment="1">
      <alignment horizontal="center" vertical="center"/>
    </xf>
    <xf numFmtId="4" fontId="27" fillId="0" borderId="0" xfId="0" applyNumberFormat="1" applyFont="1" applyAlignment="1">
      <alignment horizontal="center" vertical="center"/>
    </xf>
    <xf numFmtId="165" fontId="24" fillId="0" borderId="1" xfId="0" applyNumberFormat="1" applyFont="1" applyBorder="1" applyAlignment="1">
      <alignment horizontal="center" vertical="center"/>
    </xf>
    <xf numFmtId="3" fontId="24" fillId="0" borderId="1" xfId="0" applyNumberFormat="1" applyFont="1" applyBorder="1" applyAlignment="1">
      <alignment horizontal="center"/>
    </xf>
    <xf numFmtId="4" fontId="24" fillId="0" borderId="1" xfId="0" applyNumberFormat="1" applyFont="1" applyBorder="1" applyAlignment="1">
      <alignment horizontal="center"/>
    </xf>
    <xf numFmtId="4" fontId="28" fillId="0" borderId="2" xfId="0" applyNumberFormat="1" applyFont="1" applyBorder="1" applyAlignment="1">
      <alignment horizontal="center"/>
    </xf>
    <xf numFmtId="4" fontId="28" fillId="0" borderId="0" xfId="0" applyNumberFormat="1" applyFont="1" applyAlignment="1">
      <alignment horizontal="center"/>
    </xf>
    <xf numFmtId="0" fontId="23" fillId="0" borderId="0" xfId="0" applyFont="1" applyAlignment="1">
      <alignment horizontal="left" vertical="top" wrapText="1"/>
    </xf>
    <xf numFmtId="0" fontId="23" fillId="0" borderId="21" xfId="0" applyFont="1" applyBorder="1" applyAlignment="1">
      <alignment horizontal="left" vertical="top" wrapText="1"/>
    </xf>
    <xf numFmtId="0" fontId="22" fillId="0" borderId="0" xfId="0" applyFont="1" applyAlignment="1">
      <alignment horizontal="left" wrapText="1"/>
    </xf>
    <xf numFmtId="0" fontId="15" fillId="2" borderId="0" xfId="3" applyFont="1" applyFill="1" applyAlignment="1">
      <alignment horizontal="left" vertical="center" wrapText="1"/>
    </xf>
    <xf numFmtId="0" fontId="14" fillId="0" borderId="0" xfId="0" applyFont="1" applyAlignment="1">
      <alignment horizontal="left"/>
    </xf>
    <xf numFmtId="0" fontId="11" fillId="0" borderId="0" xfId="0" applyFont="1"/>
    <xf numFmtId="0" fontId="11" fillId="2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5" fillId="2" borderId="1" xfId="4" applyFont="1" applyFill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0" fontId="18" fillId="0" borderId="0" xfId="3" applyFont="1" applyAlignment="1">
      <alignment horizontal="left" wrapText="1"/>
    </xf>
    <xf numFmtId="0" fontId="15" fillId="0" borderId="0" xfId="3" applyFont="1" applyAlignment="1">
      <alignment horizontal="left" wrapText="1" indent="1"/>
    </xf>
    <xf numFmtId="0" fontId="13" fillId="3" borderId="0" xfId="0" applyFont="1" applyFill="1" applyAlignment="1">
      <alignment horizontal="left" vertical="center" wrapText="1"/>
    </xf>
    <xf numFmtId="49" fontId="14" fillId="2" borderId="0" xfId="0" applyNumberFormat="1" applyFont="1" applyFill="1" applyAlignment="1">
      <alignment horizontal="left"/>
    </xf>
    <xf numFmtId="0" fontId="14" fillId="0" borderId="0" xfId="0" applyFont="1"/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7" fillId="4" borderId="15" xfId="0" applyFont="1" applyFill="1" applyBorder="1" applyAlignment="1">
      <alignment horizontal="left" vertical="center" indent="1"/>
    </xf>
    <xf numFmtId="0" fontId="4" fillId="0" borderId="16" xfId="0" applyFont="1" applyBorder="1" applyAlignment="1">
      <alignment horizontal="left" vertical="center" indent="1"/>
    </xf>
    <xf numFmtId="0" fontId="4" fillId="0" borderId="17" xfId="0" applyFont="1" applyBorder="1" applyAlignment="1">
      <alignment horizontal="left" vertical="center" indent="1"/>
    </xf>
    <xf numFmtId="11" fontId="7" fillId="0" borderId="6" xfId="0" applyNumberFormat="1" applyFont="1" applyBorder="1" applyAlignment="1">
      <alignment horizontal="left" vertical="center" wrapText="1" indent="1"/>
    </xf>
    <xf numFmtId="0" fontId="0" fillId="0" borderId="25" xfId="0" applyBorder="1" applyAlignment="1">
      <alignment horizontal="left" vertical="center" wrapText="1" indent="1"/>
    </xf>
    <xf numFmtId="0" fontId="0" fillId="0" borderId="7" xfId="0" applyBorder="1" applyAlignment="1">
      <alignment horizontal="left" vertical="center" wrapText="1" indent="1"/>
    </xf>
    <xf numFmtId="0" fontId="4" fillId="0" borderId="8" xfId="0" applyFont="1" applyBorder="1" applyAlignment="1">
      <alignment horizontal="left" vertical="top" wrapText="1" indent="1"/>
    </xf>
    <xf numFmtId="0" fontId="0" fillId="0" borderId="0" xfId="0" applyAlignment="1">
      <alignment horizontal="left" vertical="top" wrapText="1" indent="1"/>
    </xf>
    <xf numFmtId="0" fontId="0" fillId="0" borderId="9" xfId="0" applyBorder="1" applyAlignment="1">
      <alignment horizontal="left" vertical="top" wrapText="1" indent="1"/>
    </xf>
    <xf numFmtId="0" fontId="0" fillId="0" borderId="8" xfId="0" applyBorder="1" applyAlignment="1">
      <alignment horizontal="left" vertical="top" wrapText="1" indent="1"/>
    </xf>
    <xf numFmtId="0" fontId="0" fillId="0" borderId="10" xfId="0" applyBorder="1" applyAlignment="1">
      <alignment horizontal="left" vertical="top" wrapText="1" indent="1"/>
    </xf>
    <xf numFmtId="0" fontId="0" fillId="0" borderId="23" xfId="0" applyBorder="1" applyAlignment="1">
      <alignment horizontal="left" vertical="top" wrapText="1" indent="1"/>
    </xf>
    <xf numFmtId="0" fontId="0" fillId="0" borderId="11" xfId="0" applyBorder="1" applyAlignment="1">
      <alignment horizontal="left" vertical="top" wrapText="1" indent="1"/>
    </xf>
    <xf numFmtId="0" fontId="7" fillId="4" borderId="15" xfId="0" applyFont="1" applyFill="1" applyBorder="1" applyAlignment="1">
      <alignment horizontal="left" vertical="center"/>
    </xf>
    <xf numFmtId="0" fontId="0" fillId="0" borderId="17" xfId="0" applyBorder="1" applyAlignment="1">
      <alignment vertical="center"/>
    </xf>
    <xf numFmtId="0" fontId="7" fillId="4" borderId="15" xfId="0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right" vertical="center"/>
    </xf>
    <xf numFmtId="0" fontId="0" fillId="0" borderId="1" xfId="0" applyBorder="1" applyAlignment="1">
      <alignment horizontal="right"/>
    </xf>
    <xf numFmtId="0" fontId="3" fillId="0" borderId="1" xfId="0" applyFont="1" applyBorder="1" applyAlignment="1">
      <alignment vertical="top"/>
    </xf>
    <xf numFmtId="0" fontId="0" fillId="0" borderId="1" xfId="0" applyBorder="1"/>
    <xf numFmtId="168" fontId="7" fillId="0" borderId="24" xfId="0" applyNumberFormat="1" applyFont="1" applyBorder="1" applyAlignment="1">
      <alignment horizontal="left" vertical="center" indent="1"/>
    </xf>
    <xf numFmtId="168" fontId="0" fillId="0" borderId="14" xfId="0" applyNumberFormat="1" applyBorder="1" applyAlignment="1">
      <alignment horizontal="left" vertical="center" indent="1"/>
    </xf>
    <xf numFmtId="168" fontId="0" fillId="0" borderId="13" xfId="0" applyNumberFormat="1" applyBorder="1" applyAlignment="1">
      <alignment horizontal="left" vertical="center" indent="1"/>
    </xf>
    <xf numFmtId="49" fontId="7" fillId="0" borderId="8" xfId="0" applyNumberFormat="1" applyFont="1" applyBorder="1" applyAlignment="1">
      <alignment horizontal="left" vertical="center" indent="1"/>
    </xf>
    <xf numFmtId="0" fontId="4" fillId="0" borderId="0" xfId="0" applyFont="1" applyAlignment="1">
      <alignment horizontal="left" vertical="center" indent="1"/>
    </xf>
    <xf numFmtId="0" fontId="4" fillId="0" borderId="9" xfId="0" applyFont="1" applyBorder="1" applyAlignment="1">
      <alignment horizontal="left" vertical="center" indent="1"/>
    </xf>
    <xf numFmtId="0" fontId="7" fillId="0" borderId="8" xfId="0" applyFont="1" applyBorder="1" applyAlignment="1">
      <alignment horizontal="left" vertical="center" indent="1"/>
    </xf>
  </cellXfs>
  <cellStyles count="6">
    <cellStyle name="Komma" xfId="1" builtinId="3"/>
    <cellStyle name="Link" xfId="2" builtinId="8"/>
    <cellStyle name="Normal 2" xfId="3" xr:uid="{00000000-0005-0000-0000-000002000000}"/>
    <cellStyle name="Standard" xfId="0" builtinId="0"/>
    <cellStyle name="Standard 2" xfId="4" xr:uid="{00000000-0005-0000-0000-000004000000}"/>
    <cellStyle name="Währung 3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flege@so.ch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59"/>
  <sheetViews>
    <sheetView topLeftCell="A19" workbookViewId="0">
      <selection activeCell="A19" sqref="A1:XFD1048576"/>
    </sheetView>
  </sheetViews>
  <sheetFormatPr baseColWidth="10" defaultRowHeight="14.5" x14ac:dyDescent="0.35"/>
  <cols>
    <col min="1" max="1" width="2.26953125" style="37" customWidth="1"/>
    <col min="2" max="5" width="20.54296875" style="37" customWidth="1"/>
    <col min="6" max="6" width="28.1796875" style="37" bestFit="1" customWidth="1"/>
    <col min="7" max="7" width="1.26953125" style="37" customWidth="1"/>
    <col min="8" max="16384" width="10.90625" style="37"/>
  </cols>
  <sheetData>
    <row r="1" spans="2:7" ht="42" customHeight="1" x14ac:dyDescent="0.35"/>
    <row r="2" spans="2:7" ht="18" customHeight="1" x14ac:dyDescent="0.4">
      <c r="B2" s="113" t="s">
        <v>9</v>
      </c>
      <c r="C2" s="113"/>
      <c r="D2" s="113"/>
      <c r="E2" s="113"/>
      <c r="F2" s="75" t="s">
        <v>105</v>
      </c>
      <c r="G2" s="76"/>
    </row>
    <row r="3" spans="2:7" x14ac:dyDescent="0.35">
      <c r="B3" s="77" t="s">
        <v>109</v>
      </c>
      <c r="C3" s="78"/>
      <c r="D3" s="78"/>
      <c r="E3" s="78"/>
      <c r="F3" s="79" t="s">
        <v>102</v>
      </c>
    </row>
    <row r="5" spans="2:7" ht="15.5" x14ac:dyDescent="0.35">
      <c r="B5" s="80" t="s">
        <v>11</v>
      </c>
      <c r="C5" s="81" t="s">
        <v>12</v>
      </c>
      <c r="D5" s="82"/>
      <c r="E5" s="80" t="s">
        <v>20</v>
      </c>
      <c r="F5" s="81" t="s">
        <v>21</v>
      </c>
    </row>
    <row r="6" spans="2:7" ht="15.5" x14ac:dyDescent="0.35">
      <c r="B6" s="80" t="s">
        <v>13</v>
      </c>
      <c r="C6" s="81" t="s">
        <v>14</v>
      </c>
      <c r="D6" s="82"/>
      <c r="E6" s="80" t="s">
        <v>22</v>
      </c>
      <c r="F6" s="81" t="s">
        <v>23</v>
      </c>
    </row>
    <row r="7" spans="2:7" ht="15.5" x14ac:dyDescent="0.35">
      <c r="B7" s="80" t="s">
        <v>15</v>
      </c>
      <c r="C7" s="81" t="s">
        <v>16</v>
      </c>
      <c r="D7" s="82"/>
      <c r="E7" s="80" t="s">
        <v>24</v>
      </c>
      <c r="F7" s="81" t="s">
        <v>25</v>
      </c>
    </row>
    <row r="8" spans="2:7" ht="15.5" x14ac:dyDescent="0.35">
      <c r="B8" s="80" t="s">
        <v>17</v>
      </c>
      <c r="C8" s="81" t="s">
        <v>18</v>
      </c>
      <c r="D8" s="82"/>
      <c r="E8" s="80" t="s">
        <v>26</v>
      </c>
      <c r="F8" s="81" t="s">
        <v>27</v>
      </c>
    </row>
    <row r="9" spans="2:7" ht="15.5" x14ac:dyDescent="0.35">
      <c r="B9" s="80" t="s">
        <v>19</v>
      </c>
      <c r="C9" s="81" t="s">
        <v>73</v>
      </c>
      <c r="D9" s="82"/>
      <c r="E9" s="80" t="s">
        <v>28</v>
      </c>
      <c r="F9" s="83" t="s">
        <v>29</v>
      </c>
    </row>
    <row r="10" spans="2:7" ht="15.5" x14ac:dyDescent="0.35">
      <c r="B10" s="80"/>
      <c r="C10" s="80"/>
      <c r="D10" s="80"/>
      <c r="E10" s="80" t="s">
        <v>103</v>
      </c>
      <c r="F10" s="81" t="str">
        <f>+C5</f>
        <v>ORGANISATIONS NAME</v>
      </c>
    </row>
    <row r="11" spans="2:7" ht="15.5" x14ac:dyDescent="0.35">
      <c r="B11" s="84"/>
      <c r="C11" s="84"/>
      <c r="D11" s="85"/>
      <c r="E11" s="80" t="s">
        <v>30</v>
      </c>
      <c r="F11" s="81" t="s">
        <v>74</v>
      </c>
    </row>
    <row r="12" spans="2:7" ht="15.5" x14ac:dyDescent="0.35">
      <c r="B12" s="84"/>
      <c r="C12" s="84"/>
      <c r="D12" s="85"/>
      <c r="E12" s="80" t="s">
        <v>108</v>
      </c>
      <c r="F12" s="81"/>
    </row>
    <row r="14" spans="2:7" ht="15" customHeight="1" x14ac:dyDescent="0.35">
      <c r="B14" s="111" t="s">
        <v>0</v>
      </c>
      <c r="C14" s="112"/>
      <c r="D14" s="87" t="s">
        <v>70</v>
      </c>
      <c r="E14" s="88"/>
    </row>
    <row r="15" spans="2:7" ht="15" customHeight="1" x14ac:dyDescent="0.35">
      <c r="B15" s="111" t="s">
        <v>10</v>
      </c>
      <c r="C15" s="112"/>
      <c r="D15" s="87" t="s">
        <v>72</v>
      </c>
      <c r="E15" s="88"/>
    </row>
    <row r="16" spans="2:7" ht="15" customHeight="1" x14ac:dyDescent="0.35">
      <c r="B16" s="86" t="s">
        <v>68</v>
      </c>
      <c r="C16" s="86"/>
      <c r="D16" s="89" t="s">
        <v>23</v>
      </c>
      <c r="E16" s="90" t="s">
        <v>68</v>
      </c>
    </row>
    <row r="17" spans="2:7" ht="15" customHeight="1" x14ac:dyDescent="0.35">
      <c r="B17" s="86" t="s">
        <v>69</v>
      </c>
      <c r="C17" s="86"/>
      <c r="D17" s="89" t="s">
        <v>23</v>
      </c>
      <c r="E17" s="90" t="s">
        <v>69</v>
      </c>
    </row>
    <row r="18" spans="2:7" x14ac:dyDescent="0.35">
      <c r="B18" s="91"/>
      <c r="C18" s="92"/>
      <c r="D18" s="92"/>
      <c r="E18" s="92"/>
    </row>
    <row r="19" spans="2:7" ht="15" customHeight="1" x14ac:dyDescent="0.35">
      <c r="B19" s="111" t="s">
        <v>1</v>
      </c>
      <c r="C19" s="112"/>
      <c r="D19" s="93">
        <v>43831</v>
      </c>
      <c r="E19" s="92"/>
      <c r="F19" s="92"/>
      <c r="G19" s="94"/>
    </row>
    <row r="20" spans="2:7" x14ac:dyDescent="0.35">
      <c r="B20" s="84"/>
      <c r="C20" s="84"/>
      <c r="D20" s="95"/>
      <c r="E20" s="85"/>
    </row>
    <row r="21" spans="2:7" x14ac:dyDescent="0.35">
      <c r="B21" s="111" t="s">
        <v>2</v>
      </c>
      <c r="C21" s="112"/>
      <c r="D21" s="96">
        <v>46023</v>
      </c>
      <c r="F21" s="94"/>
    </row>
    <row r="22" spans="2:7" x14ac:dyDescent="0.35">
      <c r="E22" s="40"/>
    </row>
    <row r="23" spans="2:7" x14ac:dyDescent="0.35">
      <c r="B23" s="97" t="s">
        <v>106</v>
      </c>
      <c r="C23" s="97"/>
    </row>
    <row r="24" spans="2:7" x14ac:dyDescent="0.35">
      <c r="B24" s="37" t="s">
        <v>107</v>
      </c>
    </row>
    <row r="26" spans="2:7" ht="26" x14ac:dyDescent="0.35">
      <c r="B26" s="98" t="s">
        <v>3</v>
      </c>
      <c r="C26" s="98" t="s">
        <v>4</v>
      </c>
      <c r="D26" s="98" t="s">
        <v>5</v>
      </c>
      <c r="E26" s="99" t="s">
        <v>6</v>
      </c>
      <c r="F26" s="100" t="s">
        <v>7</v>
      </c>
    </row>
    <row r="27" spans="2:7" x14ac:dyDescent="0.35">
      <c r="B27" s="101">
        <f>+IF($D$21="","",(VLOOKUP($D$21,Parameter!A:AF,2,0)))</f>
        <v>46023</v>
      </c>
      <c r="C27" s="102"/>
      <c r="D27" s="103" t="str">
        <f>IF(C27="","",IF(C27&gt;60,Parameter!$A$22,ROUND((C27/60*Parameter!$A$22)/5,2)*5))</f>
        <v/>
      </c>
      <c r="E27" s="104" t="str">
        <f>IF(C27="","",MROUND((C27/60*$K$22),0.05)-D27)</f>
        <v/>
      </c>
      <c r="F27" s="105" t="str">
        <f>IF(C27="","",SUM(D27:E27))</f>
        <v/>
      </c>
    </row>
    <row r="28" spans="2:7" x14ac:dyDescent="0.35">
      <c r="B28" s="101">
        <f>+IF($D$21="","",(VLOOKUP($D$21,Parameter!A:AF,3,0)))</f>
        <v>46024</v>
      </c>
      <c r="C28" s="102"/>
      <c r="D28" s="103" t="str">
        <f>IF(C28="","",IF(C28&gt;60,Parameter!$A$22,ROUND((C28/60*Parameter!$A$22)/5,2)*5))</f>
        <v/>
      </c>
      <c r="E28" s="104" t="str">
        <f t="shared" ref="E28:E57" si="0">IF(C28="","",MROUND((C28/60*$K$22),0.05)-D28)</f>
        <v/>
      </c>
      <c r="F28" s="105" t="str">
        <f t="shared" ref="F28:F56" si="1">IF(C28="","",SUM(D28:E28))</f>
        <v/>
      </c>
    </row>
    <row r="29" spans="2:7" x14ac:dyDescent="0.35">
      <c r="B29" s="101">
        <f>+IF($D$21="","",(VLOOKUP($D$21,Parameter!A:AF,4,0)))</f>
        <v>46025</v>
      </c>
      <c r="C29" s="102"/>
      <c r="D29" s="103" t="str">
        <f>IF(C29="","",IF(C29&gt;60,Parameter!$A$22,ROUND((C29/60*Parameter!$A$22)/5,2)*5))</f>
        <v/>
      </c>
      <c r="E29" s="104" t="str">
        <f t="shared" si="0"/>
        <v/>
      </c>
      <c r="F29" s="105" t="str">
        <f t="shared" si="1"/>
        <v/>
      </c>
    </row>
    <row r="30" spans="2:7" x14ac:dyDescent="0.35">
      <c r="B30" s="101">
        <f>+IF($D$21="","",(VLOOKUP($D$21,Parameter!A:AF,5,0)))</f>
        <v>46026</v>
      </c>
      <c r="C30" s="102"/>
      <c r="D30" s="103" t="str">
        <f>IF(C30="","",IF(C30&gt;60,Parameter!$A$22,ROUND((C30/60*Parameter!$A$22)/5,2)*5))</f>
        <v/>
      </c>
      <c r="E30" s="104" t="str">
        <f t="shared" si="0"/>
        <v/>
      </c>
      <c r="F30" s="105" t="str">
        <f t="shared" si="1"/>
        <v/>
      </c>
    </row>
    <row r="31" spans="2:7" x14ac:dyDescent="0.35">
      <c r="B31" s="101">
        <f>+IF($D$21="","",(VLOOKUP($D$21,Parameter!A:AF,6,0)))</f>
        <v>46027</v>
      </c>
      <c r="C31" s="102"/>
      <c r="D31" s="103" t="str">
        <f>IF(C31="","",IF(C31&gt;60,Parameter!$A$22,ROUND((C31/60*Parameter!$A$22)/5,2)*5))</f>
        <v/>
      </c>
      <c r="E31" s="104" t="str">
        <f t="shared" si="0"/>
        <v/>
      </c>
      <c r="F31" s="105" t="str">
        <f t="shared" si="1"/>
        <v/>
      </c>
    </row>
    <row r="32" spans="2:7" x14ac:dyDescent="0.35">
      <c r="B32" s="101">
        <f>+IF($D$21="","",(VLOOKUP($D$21,Parameter!A:AF,7,0)))</f>
        <v>46028</v>
      </c>
      <c r="C32" s="102"/>
      <c r="D32" s="103" t="str">
        <f>IF(C32="","",IF(C32&gt;60,Parameter!$A$22,ROUND((C32/60*Parameter!$A$22)/5,2)*5))</f>
        <v/>
      </c>
      <c r="E32" s="104" t="str">
        <f t="shared" si="0"/>
        <v/>
      </c>
      <c r="F32" s="105" t="str">
        <f t="shared" si="1"/>
        <v/>
      </c>
    </row>
    <row r="33" spans="2:6" x14ac:dyDescent="0.35">
      <c r="B33" s="101">
        <f>+IF($D$21="","",(VLOOKUP($D$21,Parameter!A:AF,8,0)))</f>
        <v>46029</v>
      </c>
      <c r="C33" s="102"/>
      <c r="D33" s="103" t="str">
        <f>IF(C33="","",IF(C33&gt;60,Parameter!$A$22,ROUND((C33/60*Parameter!$A$22)/5,2)*5))</f>
        <v/>
      </c>
      <c r="E33" s="104" t="str">
        <f t="shared" si="0"/>
        <v/>
      </c>
      <c r="F33" s="105" t="str">
        <f t="shared" si="1"/>
        <v/>
      </c>
    </row>
    <row r="34" spans="2:6" x14ac:dyDescent="0.35">
      <c r="B34" s="101">
        <f>+IF($D$21="","",(VLOOKUP($D$21,Parameter!A:AF,9,0)))</f>
        <v>46030</v>
      </c>
      <c r="C34" s="102"/>
      <c r="D34" s="103" t="str">
        <f>IF(C34="","",IF(C34&gt;60,Parameter!$A$22,ROUND((C34/60*Parameter!$A$22)/5,2)*5))</f>
        <v/>
      </c>
      <c r="E34" s="104" t="str">
        <f t="shared" si="0"/>
        <v/>
      </c>
      <c r="F34" s="105" t="str">
        <f t="shared" si="1"/>
        <v/>
      </c>
    </row>
    <row r="35" spans="2:6" x14ac:dyDescent="0.35">
      <c r="B35" s="101">
        <f>+IF($D$21="","",(VLOOKUP($D$21,Parameter!A:AF,10,0)))</f>
        <v>46031</v>
      </c>
      <c r="C35" s="102"/>
      <c r="D35" s="103" t="str">
        <f>IF(C35="","",IF(C35&gt;60,Parameter!$A$22,ROUND((C35/60*Parameter!$A$22)/5,2)*5))</f>
        <v/>
      </c>
      <c r="E35" s="104" t="str">
        <f t="shared" si="0"/>
        <v/>
      </c>
      <c r="F35" s="105" t="str">
        <f t="shared" si="1"/>
        <v/>
      </c>
    </row>
    <row r="36" spans="2:6" x14ac:dyDescent="0.35">
      <c r="B36" s="101">
        <f>+IF($D$21="","",(VLOOKUP($D$21,Parameter!A:AF,11,0)))</f>
        <v>46032</v>
      </c>
      <c r="C36" s="102"/>
      <c r="D36" s="103" t="str">
        <f>IF(C36="","",IF(C36&gt;60,Parameter!$A$22,ROUND((C36/60*Parameter!$A$22)/5,2)*5))</f>
        <v/>
      </c>
      <c r="E36" s="104" t="str">
        <f t="shared" si="0"/>
        <v/>
      </c>
      <c r="F36" s="105" t="str">
        <f t="shared" si="1"/>
        <v/>
      </c>
    </row>
    <row r="37" spans="2:6" x14ac:dyDescent="0.35">
      <c r="B37" s="101">
        <f>+IF($D$21="","",(VLOOKUP($D$21,Parameter!A:AF,12,0)))</f>
        <v>46033</v>
      </c>
      <c r="C37" s="102"/>
      <c r="D37" s="103" t="str">
        <f>IF(C37="","",IF(C37&gt;60,Parameter!$A$22,ROUND((C37/60*Parameter!$A$22)/5,2)*5))</f>
        <v/>
      </c>
      <c r="E37" s="104" t="str">
        <f t="shared" si="0"/>
        <v/>
      </c>
      <c r="F37" s="105" t="str">
        <f t="shared" si="1"/>
        <v/>
      </c>
    </row>
    <row r="38" spans="2:6" x14ac:dyDescent="0.35">
      <c r="B38" s="101">
        <f>+IF($D$21="","",(VLOOKUP($D$21,Parameter!A:AF,13,0)))</f>
        <v>46034</v>
      </c>
      <c r="C38" s="102"/>
      <c r="D38" s="103" t="str">
        <f>IF(C38="","",IF(C38&gt;60,Parameter!$A$22,ROUND((C38/60*Parameter!$A$22)/5,2)*5))</f>
        <v/>
      </c>
      <c r="E38" s="104" t="str">
        <f t="shared" si="0"/>
        <v/>
      </c>
      <c r="F38" s="105" t="str">
        <f t="shared" si="1"/>
        <v/>
      </c>
    </row>
    <row r="39" spans="2:6" x14ac:dyDescent="0.35">
      <c r="B39" s="101">
        <f>+IF($D$21="","",(VLOOKUP($D$21,Parameter!A:AF,14,0)))</f>
        <v>46035</v>
      </c>
      <c r="C39" s="102"/>
      <c r="D39" s="103" t="str">
        <f>IF(C39="","",IF(C39&gt;60,Parameter!$A$22,ROUND((C39/60*Parameter!$A$22)/5,2)*5))</f>
        <v/>
      </c>
      <c r="E39" s="104" t="str">
        <f t="shared" si="0"/>
        <v/>
      </c>
      <c r="F39" s="105" t="str">
        <f t="shared" si="1"/>
        <v/>
      </c>
    </row>
    <row r="40" spans="2:6" x14ac:dyDescent="0.35">
      <c r="B40" s="101">
        <f>+IF($D$21="","",(VLOOKUP($D$21,Parameter!A:AF,15,0)))</f>
        <v>46036</v>
      </c>
      <c r="C40" s="102"/>
      <c r="D40" s="103" t="str">
        <f>IF(C40="","",IF(C40&gt;60,Parameter!$A$22,ROUND((C40/60*Parameter!$A$22)/5,2)*5))</f>
        <v/>
      </c>
      <c r="E40" s="104" t="str">
        <f t="shared" si="0"/>
        <v/>
      </c>
      <c r="F40" s="105" t="str">
        <f t="shared" si="1"/>
        <v/>
      </c>
    </row>
    <row r="41" spans="2:6" x14ac:dyDescent="0.35">
      <c r="B41" s="101">
        <f>+IF($D$21="","",(VLOOKUP($D$21,Parameter!A:AF,16,0)))</f>
        <v>46037</v>
      </c>
      <c r="C41" s="102"/>
      <c r="D41" s="103" t="str">
        <f>IF(C41="","",IF(C41&gt;60,Parameter!$A$22,ROUND((C41/60*Parameter!$A$22)/5,2)*5))</f>
        <v/>
      </c>
      <c r="E41" s="104" t="str">
        <f t="shared" si="0"/>
        <v/>
      </c>
      <c r="F41" s="105" t="str">
        <f t="shared" si="1"/>
        <v/>
      </c>
    </row>
    <row r="42" spans="2:6" x14ac:dyDescent="0.35">
      <c r="B42" s="101">
        <f>+IF($D$21="","",(VLOOKUP($D$21,Parameter!A:AF,17,0)))</f>
        <v>46038</v>
      </c>
      <c r="C42" s="102"/>
      <c r="D42" s="103" t="str">
        <f>IF(C42="","",IF(C42&gt;60,Parameter!$A$22,ROUND((C42/60*Parameter!$A$22)/5,2)*5))</f>
        <v/>
      </c>
      <c r="E42" s="104" t="str">
        <f t="shared" si="0"/>
        <v/>
      </c>
      <c r="F42" s="105" t="str">
        <f t="shared" si="1"/>
        <v/>
      </c>
    </row>
    <row r="43" spans="2:6" x14ac:dyDescent="0.35">
      <c r="B43" s="101">
        <f>+IF($D$21="","",(VLOOKUP($D$21,Parameter!A:AF,18,0)))</f>
        <v>46039</v>
      </c>
      <c r="C43" s="102"/>
      <c r="D43" s="103" t="str">
        <f>IF(C43="","",IF(C43&gt;60,Parameter!$A$22,ROUND((C43/60*Parameter!$A$22)/5,2)*5))</f>
        <v/>
      </c>
      <c r="E43" s="104" t="str">
        <f t="shared" si="0"/>
        <v/>
      </c>
      <c r="F43" s="105" t="str">
        <f t="shared" si="1"/>
        <v/>
      </c>
    </row>
    <row r="44" spans="2:6" x14ac:dyDescent="0.35">
      <c r="B44" s="101">
        <f>+IF($D$21="","",(VLOOKUP($D$21,Parameter!A:AF,19,0)))</f>
        <v>46040</v>
      </c>
      <c r="C44" s="102"/>
      <c r="D44" s="103" t="str">
        <f>IF(C44="","",IF(C44&gt;60,Parameter!$A$22,ROUND((C44/60*Parameter!$A$22)/5,2)*5))</f>
        <v/>
      </c>
      <c r="E44" s="104" t="str">
        <f t="shared" si="0"/>
        <v/>
      </c>
      <c r="F44" s="105" t="str">
        <f t="shared" si="1"/>
        <v/>
      </c>
    </row>
    <row r="45" spans="2:6" x14ac:dyDescent="0.35">
      <c r="B45" s="101">
        <f>+IF($D$21="","",(VLOOKUP($D$21,Parameter!A:AF,20,0)))</f>
        <v>46041</v>
      </c>
      <c r="C45" s="102"/>
      <c r="D45" s="103" t="str">
        <f>IF(C45="","",IF(C45&gt;60,Parameter!$A$22,ROUND((C45/60*Parameter!$A$22)/5,2)*5))</f>
        <v/>
      </c>
      <c r="E45" s="104" t="str">
        <f t="shared" si="0"/>
        <v/>
      </c>
      <c r="F45" s="105" t="str">
        <f t="shared" si="1"/>
        <v/>
      </c>
    </row>
    <row r="46" spans="2:6" x14ac:dyDescent="0.35">
      <c r="B46" s="101">
        <f>+IF($D$21="","",(VLOOKUP($D$21,Parameter!A:AF,21,0)))</f>
        <v>46042</v>
      </c>
      <c r="C46" s="102"/>
      <c r="D46" s="103" t="str">
        <f>IF(C46="","",IF(C46&gt;60,Parameter!$A$22,ROUND((C46/60*Parameter!$A$22)/5,2)*5))</f>
        <v/>
      </c>
      <c r="E46" s="104" t="str">
        <f t="shared" si="0"/>
        <v/>
      </c>
      <c r="F46" s="105" t="str">
        <f t="shared" si="1"/>
        <v/>
      </c>
    </row>
    <row r="47" spans="2:6" x14ac:dyDescent="0.35">
      <c r="B47" s="101">
        <f>+IF($D$21="","",(VLOOKUP($D$21,Parameter!A:AF,22,0)))</f>
        <v>46043</v>
      </c>
      <c r="C47" s="102"/>
      <c r="D47" s="103" t="str">
        <f>IF(C47="","",IF(C47&gt;60,Parameter!$A$22,ROUND((C47/60*Parameter!$A$22)/5,2)*5))</f>
        <v/>
      </c>
      <c r="E47" s="104" t="str">
        <f t="shared" si="0"/>
        <v/>
      </c>
      <c r="F47" s="105" t="str">
        <f t="shared" si="1"/>
        <v/>
      </c>
    </row>
    <row r="48" spans="2:6" x14ac:dyDescent="0.35">
      <c r="B48" s="101">
        <f>+IF($D$21="","",(VLOOKUP($D$21,Parameter!A:AF,23,0)))</f>
        <v>46044</v>
      </c>
      <c r="C48" s="102"/>
      <c r="D48" s="103" t="str">
        <f>IF(C48="","",IF(C48&gt;60,Parameter!$A$22,ROUND((C48/60*Parameter!$A$22)/5,2)*5))</f>
        <v/>
      </c>
      <c r="E48" s="104" t="str">
        <f t="shared" si="0"/>
        <v/>
      </c>
      <c r="F48" s="105" t="str">
        <f t="shared" si="1"/>
        <v/>
      </c>
    </row>
    <row r="49" spans="2:7" x14ac:dyDescent="0.35">
      <c r="B49" s="101">
        <f>+IF($D$21="","",(VLOOKUP($D$21,Parameter!A:AF,24,0)))</f>
        <v>46045</v>
      </c>
      <c r="C49" s="102"/>
      <c r="D49" s="103" t="str">
        <f>IF(C49="","",IF(C49&gt;60,Parameter!$A$22,ROUND((C49/60*Parameter!$A$22)/5,2)*5))</f>
        <v/>
      </c>
      <c r="E49" s="104" t="str">
        <f t="shared" si="0"/>
        <v/>
      </c>
      <c r="F49" s="105" t="str">
        <f t="shared" si="1"/>
        <v/>
      </c>
    </row>
    <row r="50" spans="2:7" x14ac:dyDescent="0.35">
      <c r="B50" s="101">
        <f>+IF($D$21="","",(VLOOKUP($D$21,Parameter!A:AF,25,0)))</f>
        <v>46046</v>
      </c>
      <c r="C50" s="102"/>
      <c r="D50" s="103" t="str">
        <f>IF(C50="","",IF(C50&gt;60,Parameter!$A$22,ROUND((C50/60*Parameter!$A$22)/5,2)*5))</f>
        <v/>
      </c>
      <c r="E50" s="104" t="str">
        <f t="shared" si="0"/>
        <v/>
      </c>
      <c r="F50" s="105" t="str">
        <f t="shared" si="1"/>
        <v/>
      </c>
    </row>
    <row r="51" spans="2:7" x14ac:dyDescent="0.35">
      <c r="B51" s="101">
        <f>+IF($D$21="","",(VLOOKUP($D$21,Parameter!A:AF,26,0)))</f>
        <v>46047</v>
      </c>
      <c r="C51" s="102"/>
      <c r="D51" s="103" t="str">
        <f>IF(C51="","",IF(C51&gt;60,Parameter!$A$22,ROUND((C51/60*Parameter!$A$22)/5,2)*5))</f>
        <v/>
      </c>
      <c r="E51" s="104" t="str">
        <f t="shared" si="0"/>
        <v/>
      </c>
      <c r="F51" s="105" t="str">
        <f t="shared" si="1"/>
        <v/>
      </c>
    </row>
    <row r="52" spans="2:7" x14ac:dyDescent="0.35">
      <c r="B52" s="101">
        <f>+IF($D$21="","",(VLOOKUP($D$21,Parameter!A:AF,27,0)))</f>
        <v>46048</v>
      </c>
      <c r="C52" s="102"/>
      <c r="D52" s="103" t="str">
        <f>IF(C52="","",IF(C52&gt;60,Parameter!$A$22,ROUND((C52/60*Parameter!$A$22)/5,2)*5))</f>
        <v/>
      </c>
      <c r="E52" s="104" t="str">
        <f t="shared" si="0"/>
        <v/>
      </c>
      <c r="F52" s="105" t="str">
        <f t="shared" si="1"/>
        <v/>
      </c>
    </row>
    <row r="53" spans="2:7" x14ac:dyDescent="0.35">
      <c r="B53" s="101">
        <f>+IF($D$21="","",(VLOOKUP($D$21,Parameter!A:AF,28,0)))</f>
        <v>46049</v>
      </c>
      <c r="C53" s="102"/>
      <c r="D53" s="103" t="str">
        <f>IF(C53="","",IF(C53&gt;60,Parameter!$A$22,ROUND((C53/60*Parameter!$A$22)/5,2)*5))</f>
        <v/>
      </c>
      <c r="E53" s="104" t="str">
        <f t="shared" si="0"/>
        <v/>
      </c>
      <c r="F53" s="105" t="str">
        <f t="shared" si="1"/>
        <v/>
      </c>
    </row>
    <row r="54" spans="2:7" x14ac:dyDescent="0.35">
      <c r="B54" s="101">
        <f>+IF($D$21="","",(VLOOKUP($D$21,Parameter!A:AF,29,0)))</f>
        <v>46050</v>
      </c>
      <c r="C54" s="102"/>
      <c r="D54" s="103" t="str">
        <f>IF(C54="","",IF(C54&gt;60,Parameter!$A$22,ROUND((C54/60*Parameter!$A$22)/5,2)*5))</f>
        <v/>
      </c>
      <c r="E54" s="104" t="str">
        <f t="shared" si="0"/>
        <v/>
      </c>
      <c r="F54" s="105" t="str">
        <f t="shared" si="1"/>
        <v/>
      </c>
    </row>
    <row r="55" spans="2:7" x14ac:dyDescent="0.35">
      <c r="B55" s="101">
        <f>+IF($D$21="","",(VLOOKUP($D$21,Parameter!A:AF,30,0)))</f>
        <v>46051</v>
      </c>
      <c r="C55" s="102"/>
      <c r="D55" s="103" t="str">
        <f>IF(C55="","",IF(C55&gt;60,Parameter!$A$22,ROUND((C55/60*Parameter!$A$22)/5,2)*5))</f>
        <v/>
      </c>
      <c r="E55" s="104" t="str">
        <f t="shared" si="0"/>
        <v/>
      </c>
      <c r="F55" s="105" t="str">
        <f t="shared" si="1"/>
        <v/>
      </c>
    </row>
    <row r="56" spans="2:7" x14ac:dyDescent="0.35">
      <c r="B56" s="101">
        <f>+IF($D$21="","",(VLOOKUP($D$21,Parameter!A:AF,31,0)))</f>
        <v>46052</v>
      </c>
      <c r="C56" s="102"/>
      <c r="D56" s="103" t="str">
        <f>IF(C56="","",IF(C56&gt;60,Parameter!$A$22,ROUND((C56/60*Parameter!$A$22)/5,2)*5))</f>
        <v/>
      </c>
      <c r="E56" s="104" t="str">
        <f t="shared" si="0"/>
        <v/>
      </c>
      <c r="F56" s="105" t="str">
        <f t="shared" si="1"/>
        <v/>
      </c>
    </row>
    <row r="57" spans="2:7" x14ac:dyDescent="0.35">
      <c r="B57" s="101">
        <f>+IF($D$21="","",(VLOOKUP($D$21,Parameter!A:AF,32,0)))</f>
        <v>46053</v>
      </c>
      <c r="C57" s="102"/>
      <c r="D57" s="103" t="str">
        <f>IF(C57="","",IF(C57&gt;60,Parameter!$A$22,ROUND((C57/60*Parameter!$A$22)/5,2)*5))</f>
        <v/>
      </c>
      <c r="E57" s="104" t="str">
        <f t="shared" si="0"/>
        <v/>
      </c>
      <c r="F57" s="105">
        <f>IF($C$58="","",SUM(D57:E57))</f>
        <v>0</v>
      </c>
    </row>
    <row r="58" spans="2:7" x14ac:dyDescent="0.35">
      <c r="B58" s="106" t="s">
        <v>8</v>
      </c>
      <c r="C58" s="107">
        <f>SUM(C27:C57)</f>
        <v>0</v>
      </c>
      <c r="D58" s="108">
        <f>SUM(D27:D57)</f>
        <v>0</v>
      </c>
      <c r="E58" s="109">
        <f>ROUND(((C58/60*$K$22)-D58)*20,0)/20</f>
        <v>0</v>
      </c>
      <c r="F58" s="110">
        <f>SUM(D58:E58)</f>
        <v>0</v>
      </c>
      <c r="G58" s="97"/>
    </row>
    <row r="59" spans="2:7" x14ac:dyDescent="0.35">
      <c r="B59" s="106" t="s">
        <v>71</v>
      </c>
      <c r="C59" s="107">
        <f>+COUNTIFS(C27:C57,"&gt;0")</f>
        <v>0</v>
      </c>
      <c r="D59" s="108"/>
      <c r="E59" s="109"/>
      <c r="F59" s="110"/>
      <c r="G59" s="97"/>
    </row>
  </sheetData>
  <mergeCells count="5">
    <mergeCell ref="B19:C19"/>
    <mergeCell ref="B21:C21"/>
    <mergeCell ref="B15:C15"/>
    <mergeCell ref="B14:C14"/>
    <mergeCell ref="B2:E2"/>
  </mergeCells>
  <hyperlinks>
    <hyperlink ref="F9" r:id="rId1" xr:uid="{00000000-0004-0000-0000-000000000000}"/>
  </hyperlinks>
  <pageMargins left="0.70866141732283472" right="0.70866141732283472" top="0.78740157480314965" bottom="0.78740157480314965" header="0.31496062992125984" footer="0.31496062992125984"/>
  <pageSetup paperSize="9" scale="77" orientation="portrait" verticalDpi="0"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8CADD44-CC75-4523-BB9F-89220879055D}">
          <x14:formula1>
            <xm:f>Parameter!$A$2:$A$13</xm:f>
          </x14:formula1>
          <xm:sqref>D21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AD37"/>
  <sheetViews>
    <sheetView zoomScale="70" zoomScaleNormal="70" workbookViewId="0">
      <selection sqref="A1:XFD1048576"/>
    </sheetView>
  </sheetViews>
  <sheetFormatPr baseColWidth="10" defaultColWidth="11.453125" defaultRowHeight="14.5" x14ac:dyDescent="0.35"/>
  <cols>
    <col min="1" max="1" width="19.453125" style="36" customWidth="1"/>
    <col min="2" max="2" width="32.453125" style="36" customWidth="1"/>
    <col min="3" max="3" width="9.54296875" style="36" bestFit="1" customWidth="1"/>
    <col min="4" max="5" width="32.453125" style="36" customWidth="1"/>
    <col min="6" max="7" width="21.1796875" style="36" customWidth="1"/>
    <col min="8" max="8" width="6" style="36" bestFit="1" customWidth="1"/>
    <col min="9" max="9" width="11.1796875" style="36" bestFit="1" customWidth="1"/>
    <col min="10" max="10" width="6" style="36" bestFit="1" customWidth="1"/>
    <col min="11" max="11" width="11.1796875" style="36" bestFit="1" customWidth="1"/>
    <col min="12" max="12" width="11.453125" style="36"/>
    <col min="13" max="13" width="12.81640625" style="36" bestFit="1" customWidth="1"/>
    <col min="14" max="23" width="11.453125" style="36"/>
    <col min="24" max="24" width="15" style="36" bestFit="1" customWidth="1"/>
    <col min="25" max="25" width="10.90625" style="37"/>
    <col min="26" max="29" width="11.453125" style="36"/>
    <col min="30" max="30" width="10.90625" style="37" customWidth="1"/>
    <col min="31" max="16384" width="11.453125" style="36"/>
  </cols>
  <sheetData>
    <row r="2" spans="1:20" ht="23.25" customHeight="1" x14ac:dyDescent="0.45">
      <c r="A2" s="35" t="s">
        <v>110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20" ht="23.25" customHeight="1" x14ac:dyDescent="0.45">
      <c r="A3" s="35"/>
      <c r="B3" s="35"/>
      <c r="C3" s="35"/>
      <c r="D3" s="35" t="str">
        <f>+'Patientenbeteiligung 2026'!F2</f>
        <v>K 2026 PB</v>
      </c>
      <c r="E3" s="35"/>
      <c r="H3" s="35"/>
      <c r="I3" s="35"/>
      <c r="J3" s="35"/>
      <c r="K3" s="35"/>
    </row>
    <row r="4" spans="1:20" ht="23.25" customHeight="1" x14ac:dyDescent="0.35">
      <c r="A4" s="38"/>
    </row>
    <row r="5" spans="1:20" ht="33" customHeight="1" x14ac:dyDescent="0.45">
      <c r="A5" s="123" t="s">
        <v>111</v>
      </c>
      <c r="B5" s="123"/>
      <c r="C5" s="123"/>
      <c r="D5" s="123"/>
      <c r="E5" s="123"/>
      <c r="F5" s="123"/>
      <c r="G5" s="123"/>
      <c r="H5" s="123"/>
      <c r="I5" s="39"/>
      <c r="J5" s="39"/>
      <c r="K5" s="39"/>
      <c r="L5" s="35"/>
    </row>
    <row r="6" spans="1:20" ht="23.25" customHeight="1" x14ac:dyDescent="0.35"/>
    <row r="7" spans="1:20" s="37" customFormat="1" ht="23.25" customHeight="1" x14ac:dyDescent="0.35">
      <c r="A7" s="40" t="s">
        <v>67</v>
      </c>
      <c r="B7" s="40"/>
      <c r="C7" s="40"/>
      <c r="D7" s="40"/>
      <c r="E7" s="40"/>
      <c r="F7" s="40"/>
      <c r="G7" s="40"/>
      <c r="H7" s="40"/>
      <c r="I7" s="40"/>
      <c r="J7" s="40"/>
      <c r="K7" s="40"/>
    </row>
    <row r="8" spans="1:20" s="37" customFormat="1" ht="23.25" customHeight="1" x14ac:dyDescent="0.35">
      <c r="A8" s="40"/>
      <c r="B8" s="40"/>
      <c r="C8" s="40"/>
      <c r="D8" s="40"/>
      <c r="E8" s="40"/>
      <c r="F8" s="40"/>
      <c r="G8" s="40"/>
      <c r="H8" s="40"/>
      <c r="I8" s="40"/>
      <c r="J8" s="40"/>
      <c r="K8" s="40"/>
      <c r="O8" s="41"/>
    </row>
    <row r="9" spans="1:20" s="37" customFormat="1" ht="23.25" customHeight="1" x14ac:dyDescent="0.35">
      <c r="A9" s="37" t="s">
        <v>11</v>
      </c>
      <c r="B9" s="42" t="str">
        <f>+'Patientenbeteiligung 2026'!C5</f>
        <v>ORGANISATIONS NAME</v>
      </c>
      <c r="C9" s="37" t="s">
        <v>17</v>
      </c>
      <c r="D9" s="124" t="str">
        <f>+'Patientenbeteiligung 2026'!C8</f>
        <v>S111111</v>
      </c>
      <c r="E9" s="116"/>
      <c r="F9" s="43"/>
      <c r="G9" s="43"/>
      <c r="H9" s="43"/>
      <c r="I9" s="43"/>
    </row>
    <row r="10" spans="1:20" s="37" customFormat="1" ht="23.25" customHeight="1" x14ac:dyDescent="0.35">
      <c r="A10" s="37" t="s">
        <v>13</v>
      </c>
      <c r="B10" s="42" t="str">
        <f>+'Patientenbeteiligung 2026'!C6</f>
        <v>NAME Verantwortliche Person</v>
      </c>
      <c r="C10" s="37" t="s">
        <v>19</v>
      </c>
      <c r="D10" s="124" t="str">
        <f>+'Patientenbeteiligung 2026'!C9</f>
        <v>7676767676767</v>
      </c>
      <c r="E10" s="116"/>
      <c r="F10" s="43"/>
      <c r="G10" s="43"/>
      <c r="H10" s="43"/>
      <c r="I10" s="43"/>
    </row>
    <row r="11" spans="1:20" s="37" customFormat="1" ht="23.25" customHeight="1" x14ac:dyDescent="0.35">
      <c r="A11" s="37" t="s">
        <v>15</v>
      </c>
      <c r="B11" s="42" t="str">
        <f>+'Patientenbeteiligung 2026'!C7</f>
        <v>VORNAME Verantwortliche Person</v>
      </c>
      <c r="D11" s="125"/>
      <c r="E11" s="116"/>
    </row>
    <row r="12" spans="1:20" s="37" customFormat="1" ht="23.25" customHeight="1" x14ac:dyDescent="0.35">
      <c r="A12" s="37" t="s">
        <v>20</v>
      </c>
      <c r="B12" s="42" t="str">
        <f>+'Patientenbeteiligung 2026'!F5</f>
        <v>Pflegestr. 1</v>
      </c>
      <c r="D12" s="115"/>
      <c r="E12" s="116"/>
      <c r="F12" s="43"/>
      <c r="G12" s="43"/>
      <c r="H12" s="43"/>
      <c r="I12" s="43"/>
    </row>
    <row r="13" spans="1:20" s="37" customFormat="1" ht="23.25" customHeight="1" x14ac:dyDescent="0.35">
      <c r="A13" s="37" t="s">
        <v>22</v>
      </c>
      <c r="B13" s="42" t="str">
        <f>+'Patientenbeteiligung 2026'!F6</f>
        <v>4500</v>
      </c>
      <c r="D13" s="115"/>
      <c r="E13" s="116"/>
      <c r="F13" s="43"/>
      <c r="G13" s="43"/>
      <c r="H13" s="43"/>
      <c r="I13" s="43"/>
    </row>
    <row r="14" spans="1:20" s="37" customFormat="1" ht="23.25" customHeight="1" x14ac:dyDescent="0.35">
      <c r="A14" s="37" t="s">
        <v>24</v>
      </c>
      <c r="B14" s="42" t="str">
        <f>+'Patientenbeteiligung 2026'!F7</f>
        <v>Solothurn</v>
      </c>
      <c r="D14" s="115"/>
      <c r="E14" s="116"/>
      <c r="F14" s="43"/>
      <c r="G14" s="43"/>
      <c r="H14" s="43"/>
      <c r="I14" s="43"/>
    </row>
    <row r="15" spans="1:20" s="37" customFormat="1" ht="23.25" customHeight="1" x14ac:dyDescent="0.35">
      <c r="B15" s="44"/>
      <c r="C15" s="45"/>
      <c r="D15" s="45"/>
      <c r="E15" s="45"/>
      <c r="O15" s="45"/>
      <c r="P15" s="45"/>
      <c r="Q15" s="45"/>
      <c r="R15" s="45"/>
      <c r="S15" s="45"/>
      <c r="T15" s="45"/>
    </row>
    <row r="16" spans="1:20" s="37" customFormat="1" ht="23.25" customHeight="1" x14ac:dyDescent="0.35">
      <c r="A16" s="46" t="s">
        <v>33</v>
      </c>
      <c r="B16" s="47">
        <f>+'Patientenbeteiligung 2026'!D21</f>
        <v>46023</v>
      </c>
      <c r="C16" s="48"/>
      <c r="D16" s="48"/>
      <c r="E16" s="48"/>
      <c r="F16" s="48"/>
      <c r="G16" s="48"/>
      <c r="H16" s="46"/>
      <c r="I16" s="46"/>
      <c r="J16" s="46"/>
      <c r="K16" s="46"/>
    </row>
    <row r="17" spans="1:24" ht="23.25" customHeight="1" x14ac:dyDescent="0.35">
      <c r="A17" s="49"/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50"/>
    </row>
    <row r="18" spans="1:24" ht="23.25" customHeight="1" x14ac:dyDescent="0.35">
      <c r="N18" s="117" t="s">
        <v>34</v>
      </c>
      <c r="O18" s="117"/>
      <c r="P18" s="117"/>
      <c r="Q18" s="117"/>
      <c r="R18" s="117" t="s">
        <v>35</v>
      </c>
      <c r="S18" s="118"/>
      <c r="T18" s="118"/>
      <c r="U18" s="119" t="s">
        <v>36</v>
      </c>
      <c r="V18" s="119"/>
      <c r="W18" s="119"/>
      <c r="X18" s="119"/>
    </row>
    <row r="19" spans="1:24" ht="99.75" customHeight="1" x14ac:dyDescent="0.35">
      <c r="A19" s="51" t="s">
        <v>37</v>
      </c>
      <c r="B19" s="51" t="s">
        <v>38</v>
      </c>
      <c r="C19" s="51" t="s">
        <v>39</v>
      </c>
      <c r="D19" s="51" t="s">
        <v>13</v>
      </c>
      <c r="E19" s="51" t="s">
        <v>24</v>
      </c>
      <c r="F19" s="51" t="s">
        <v>40</v>
      </c>
      <c r="G19" s="51" t="s">
        <v>41</v>
      </c>
      <c r="H19" s="51" t="s">
        <v>42</v>
      </c>
      <c r="I19" s="51" t="s">
        <v>43</v>
      </c>
      <c r="J19" s="51" t="s">
        <v>44</v>
      </c>
      <c r="K19" s="51" t="s">
        <v>45</v>
      </c>
      <c r="L19" s="52" t="s">
        <v>46</v>
      </c>
      <c r="M19" s="53" t="s">
        <v>47</v>
      </c>
      <c r="N19" s="53" t="s">
        <v>48</v>
      </c>
      <c r="O19" s="53" t="s">
        <v>49</v>
      </c>
      <c r="P19" s="53" t="s">
        <v>50</v>
      </c>
      <c r="Q19" s="52" t="s">
        <v>51</v>
      </c>
      <c r="R19" s="53" t="s">
        <v>52</v>
      </c>
      <c r="S19" s="53" t="s">
        <v>53</v>
      </c>
      <c r="T19" s="53" t="s">
        <v>54</v>
      </c>
      <c r="U19" s="53" t="s">
        <v>52</v>
      </c>
      <c r="V19" s="53" t="s">
        <v>55</v>
      </c>
      <c r="W19" s="53" t="s">
        <v>56</v>
      </c>
      <c r="X19" s="54" t="s">
        <v>57</v>
      </c>
    </row>
    <row r="20" spans="1:24" ht="23.25" customHeight="1" thickBot="1" x14ac:dyDescent="0.4">
      <c r="A20" s="55" t="str">
        <f>IFERROR(IF($H$20&lt;&gt;"",D3,""),"")</f>
        <v>K 2026 PB</v>
      </c>
      <c r="B20" s="55" t="str">
        <f>IFERROR(IF($H$20&lt;&gt;"",D9,""),"")</f>
        <v>S111111</v>
      </c>
      <c r="C20" s="55" t="str">
        <f>IFERROR(IF($H$20&lt;&gt;"",B9,""),"")</f>
        <v>ORGANISATIONS NAME</v>
      </c>
      <c r="D20" s="55" t="str">
        <f>IFERROR(IF($H$20&lt;&gt;"",B10&amp;" "&amp;B11,""),"")</f>
        <v>NAME Verantwortliche Person VORNAME Verantwortliche Person</v>
      </c>
      <c r="E20" s="55" t="str">
        <f>IFERROR(IF($H$20&lt;&gt;"",+B14,""),"")</f>
        <v>Solothurn</v>
      </c>
      <c r="F20" s="56" t="str">
        <f>IFERROR(IF($H$20&lt;&gt;"",TEXT(B16,"MM.JJ"),""),"")</f>
        <v>01.26</v>
      </c>
      <c r="G20" s="55" t="str">
        <f>IFERROR(IF($H$20&lt;&gt;"",'Patientenbeteiligung 2026'!D15,""),"")</f>
        <v>756.0000.0000.00</v>
      </c>
      <c r="H20" s="55" t="str">
        <f>IF(ISBLANK('Patientenbeteiligung 2026'!D16),"",('Patientenbeteiligung 2026'!D16))</f>
        <v>4500</v>
      </c>
      <c r="I20" s="55" t="str">
        <f>IF(ISBLANK('Patientenbeteiligung 2026'!E16),"",('Patientenbeteiligung 2026'!E16))</f>
        <v>Wohnsitz</v>
      </c>
      <c r="J20" s="55" t="str">
        <f>IF(ISBLANK('Patientenbeteiligung 2026'!D17),"",('Patientenbeteiligung 2026'!D17))</f>
        <v>4500</v>
      </c>
      <c r="K20" s="55" t="str">
        <f>IF(ISBLANK('Patientenbeteiligung 2026'!E17),"",('Patientenbeteiligung 2026'!E17))</f>
        <v>Pflegeort</v>
      </c>
      <c r="L20" s="57">
        <f>+'Patientenbeteiligung 2026'!C59</f>
        <v>0</v>
      </c>
      <c r="M20" s="58">
        <f>+'Patientenbeteiligung 2026'!D58</f>
        <v>0</v>
      </c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60">
        <f>+M20</f>
        <v>0</v>
      </c>
    </row>
    <row r="21" spans="1:24" s="37" customFormat="1" ht="23.25" customHeight="1" thickBot="1" x14ac:dyDescent="0.4">
      <c r="A21" s="61" t="s">
        <v>58</v>
      </c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4" t="s">
        <v>59</v>
      </c>
      <c r="W21" s="63"/>
      <c r="X21" s="65">
        <f>ROUND(SUM(X20:X20)*20,)/20</f>
        <v>0</v>
      </c>
    </row>
    <row r="22" spans="1:24" ht="23.25" customHeight="1" x14ac:dyDescent="0.35">
      <c r="A22" s="120" t="s">
        <v>60</v>
      </c>
      <c r="B22" s="120"/>
      <c r="C22" s="120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120"/>
      <c r="Q22" s="120"/>
      <c r="R22" s="120"/>
      <c r="S22" s="120"/>
      <c r="T22" s="120"/>
      <c r="U22" s="120"/>
      <c r="V22" s="120"/>
      <c r="W22" s="120"/>
      <c r="X22" s="120"/>
    </row>
    <row r="23" spans="1:24" s="37" customFormat="1" ht="36.75" customHeight="1" x14ac:dyDescent="0.35">
      <c r="A23" s="121" t="s">
        <v>112</v>
      </c>
      <c r="B23" s="121"/>
      <c r="C23" s="121"/>
      <c r="D23" s="121"/>
      <c r="E23" s="121"/>
      <c r="F23" s="121"/>
      <c r="G23" s="121"/>
      <c r="H23" s="121"/>
      <c r="I23" s="121"/>
      <c r="J23" s="121"/>
      <c r="K23" s="121"/>
      <c r="L23" s="121"/>
      <c r="M23" s="121"/>
      <c r="N23" s="121"/>
      <c r="O23" s="121"/>
      <c r="P23" s="121"/>
      <c r="Q23" s="121"/>
      <c r="R23" s="121"/>
      <c r="S23" s="121"/>
      <c r="T23" s="121"/>
      <c r="U23" s="121"/>
      <c r="V23" s="121"/>
      <c r="W23" s="121"/>
      <c r="X23" s="121"/>
    </row>
    <row r="24" spans="1:24" s="37" customFormat="1" x14ac:dyDescent="0.35">
      <c r="A24" s="66"/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</row>
    <row r="25" spans="1:24" s="37" customFormat="1" x14ac:dyDescent="0.35">
      <c r="A25" s="122" t="s">
        <v>61</v>
      </c>
      <c r="B25" s="122"/>
      <c r="C25" s="122"/>
      <c r="D25" s="122"/>
      <c r="E25" s="122"/>
      <c r="F25" s="122"/>
      <c r="G25" s="122"/>
      <c r="H25" s="122"/>
      <c r="I25" s="122"/>
      <c r="J25" s="122"/>
      <c r="K25" s="122"/>
      <c r="L25" s="122"/>
      <c r="M25" s="122"/>
      <c r="N25" s="122"/>
      <c r="O25" s="122"/>
      <c r="P25" s="122"/>
      <c r="Q25" s="122"/>
      <c r="R25" s="122"/>
      <c r="S25" s="122"/>
      <c r="T25" s="122"/>
      <c r="U25" s="122"/>
      <c r="V25" s="122"/>
      <c r="W25" s="122"/>
      <c r="X25" s="122"/>
    </row>
    <row r="26" spans="1:24" s="37" customFormat="1" x14ac:dyDescent="0.35">
      <c r="A26" s="122" t="s">
        <v>62</v>
      </c>
      <c r="B26" s="122"/>
      <c r="C26" s="122"/>
      <c r="D26" s="122"/>
      <c r="E26" s="122"/>
      <c r="F26" s="122"/>
      <c r="G26" s="122"/>
      <c r="H26" s="122"/>
      <c r="I26" s="122"/>
      <c r="J26" s="122"/>
      <c r="K26" s="122"/>
      <c r="L26" s="122"/>
      <c r="M26" s="122"/>
      <c r="N26" s="122"/>
      <c r="O26" s="122"/>
      <c r="P26" s="122"/>
      <c r="Q26" s="122"/>
      <c r="R26" s="122"/>
      <c r="S26" s="122"/>
      <c r="T26" s="122"/>
      <c r="U26" s="122"/>
      <c r="V26" s="122"/>
      <c r="W26" s="122"/>
      <c r="X26" s="122"/>
    </row>
    <row r="27" spans="1:24" s="37" customFormat="1" ht="18" customHeight="1" x14ac:dyDescent="0.35">
      <c r="A27" s="122" t="s">
        <v>63</v>
      </c>
      <c r="B27" s="122"/>
      <c r="C27" s="122"/>
      <c r="D27" s="122"/>
      <c r="E27" s="122"/>
      <c r="F27" s="122"/>
      <c r="G27" s="122"/>
      <c r="H27" s="122"/>
      <c r="I27" s="122"/>
      <c r="J27" s="122"/>
      <c r="K27" s="122"/>
      <c r="L27" s="122"/>
      <c r="M27" s="122"/>
      <c r="N27" s="122"/>
      <c r="O27" s="122"/>
      <c r="P27" s="122"/>
      <c r="Q27" s="122"/>
      <c r="R27" s="122"/>
      <c r="S27" s="122"/>
      <c r="T27" s="122"/>
      <c r="U27" s="122"/>
      <c r="V27" s="122"/>
      <c r="W27" s="122"/>
      <c r="X27" s="122"/>
    </row>
    <row r="28" spans="1:24" s="37" customFormat="1" ht="18" customHeight="1" x14ac:dyDescent="0.35">
      <c r="A28" s="122" t="s">
        <v>64</v>
      </c>
      <c r="B28" s="122"/>
      <c r="C28" s="122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P28" s="122"/>
      <c r="Q28" s="122"/>
      <c r="R28" s="122"/>
      <c r="S28" s="122"/>
      <c r="T28" s="122"/>
      <c r="U28" s="122"/>
      <c r="V28" s="122"/>
      <c r="W28" s="122"/>
      <c r="X28" s="122"/>
    </row>
    <row r="29" spans="1:24" s="37" customFormat="1" x14ac:dyDescent="0.35">
      <c r="A29" s="122" t="s">
        <v>65</v>
      </c>
      <c r="B29" s="122"/>
      <c r="C29" s="122"/>
      <c r="D29" s="122"/>
      <c r="E29" s="122"/>
      <c r="F29" s="122"/>
      <c r="G29" s="122"/>
      <c r="H29" s="122"/>
      <c r="I29" s="122"/>
      <c r="J29" s="122"/>
      <c r="K29" s="122"/>
      <c r="L29" s="122"/>
      <c r="M29" s="122"/>
      <c r="N29" s="122"/>
      <c r="O29" s="122"/>
      <c r="P29" s="122"/>
      <c r="Q29" s="122"/>
      <c r="R29" s="122"/>
      <c r="S29" s="122"/>
      <c r="T29" s="122"/>
      <c r="U29" s="122"/>
      <c r="V29" s="122"/>
      <c r="W29" s="122"/>
      <c r="X29" s="122"/>
    </row>
    <row r="30" spans="1:24" s="37" customFormat="1" ht="12" customHeight="1" x14ac:dyDescent="0.35"/>
    <row r="31" spans="1:24" s="37" customFormat="1" x14ac:dyDescent="0.35">
      <c r="A31" s="114" t="s">
        <v>113</v>
      </c>
      <c r="B31" s="114"/>
      <c r="C31" s="114"/>
      <c r="D31" s="114"/>
      <c r="E31" s="114"/>
      <c r="F31" s="114"/>
      <c r="G31" s="114"/>
      <c r="H31" s="114"/>
      <c r="I31" s="114"/>
      <c r="J31" s="114"/>
      <c r="K31" s="114"/>
      <c r="L31" s="114"/>
      <c r="M31" s="114"/>
      <c r="N31" s="114"/>
      <c r="O31" s="114"/>
      <c r="P31" s="114"/>
      <c r="Q31" s="114"/>
      <c r="R31" s="114"/>
      <c r="S31" s="114"/>
      <c r="T31" s="114"/>
      <c r="U31" s="114"/>
      <c r="V31" s="114"/>
      <c r="W31" s="114"/>
      <c r="X31" s="114"/>
    </row>
    <row r="32" spans="1:24" s="37" customFormat="1" ht="12" customHeight="1" x14ac:dyDescent="0.35"/>
    <row r="33" spans="1:24" s="37" customFormat="1" x14ac:dyDescent="0.35">
      <c r="A33" s="67" t="s">
        <v>66</v>
      </c>
      <c r="B33" s="67"/>
      <c r="C33" s="67"/>
      <c r="D33" s="67"/>
      <c r="E33" s="67"/>
      <c r="F33" s="67"/>
      <c r="G33" s="67"/>
      <c r="H33" s="67"/>
      <c r="I33" s="67"/>
      <c r="J33" s="67"/>
      <c r="K33" s="67"/>
    </row>
    <row r="34" spans="1:24" s="37" customFormat="1" x14ac:dyDescent="0.35"/>
    <row r="35" spans="1:24" s="37" customFormat="1" x14ac:dyDescent="0.35">
      <c r="A35" s="68"/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70"/>
      <c r="X35" s="71"/>
    </row>
    <row r="36" spans="1:24" s="37" customFormat="1" x14ac:dyDescent="0.35">
      <c r="A36" s="68"/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7"/>
      <c r="M36" s="67"/>
      <c r="N36" s="67"/>
      <c r="X36" s="72" t="str">
        <f>D9&amp;"/"&amp;D10</f>
        <v>S111111/7676767676767</v>
      </c>
    </row>
    <row r="37" spans="1:24" ht="20.5" x14ac:dyDescent="0.45">
      <c r="A37" s="73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4"/>
      <c r="P37" s="74"/>
      <c r="Q37" s="74"/>
      <c r="R37" s="74"/>
      <c r="S37" s="74"/>
      <c r="T37" s="74"/>
      <c r="U37" s="74"/>
      <c r="V37" s="74"/>
      <c r="W37" s="74"/>
      <c r="X37" s="74"/>
    </row>
  </sheetData>
  <mergeCells count="18">
    <mergeCell ref="D13:E13"/>
    <mergeCell ref="A5:H5"/>
    <mergeCell ref="D9:E9"/>
    <mergeCell ref="D10:E10"/>
    <mergeCell ref="D11:E11"/>
    <mergeCell ref="D12:E12"/>
    <mergeCell ref="A31:X31"/>
    <mergeCell ref="D14:E14"/>
    <mergeCell ref="N18:Q18"/>
    <mergeCell ref="R18:T18"/>
    <mergeCell ref="U18:X18"/>
    <mergeCell ref="A22:X22"/>
    <mergeCell ref="A23:X23"/>
    <mergeCell ref="A25:X25"/>
    <mergeCell ref="A26:X26"/>
    <mergeCell ref="A27:X27"/>
    <mergeCell ref="A28:X28"/>
    <mergeCell ref="A29:X29"/>
  </mergeCells>
  <pageMargins left="0.70866141732283472" right="0.70866141732283472" top="0.78740157480314965" bottom="0.78740157480314965" header="0.31496062992125984" footer="0.31496062992125984"/>
  <pageSetup paperSize="9" scale="37" orientation="landscape" horizontalDpi="30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57645-9DD8-410F-81D6-9038821266C7}">
  <sheetPr>
    <pageSetUpPr fitToPage="1"/>
  </sheetPr>
  <dimension ref="A1:E27"/>
  <sheetViews>
    <sheetView tabSelected="1" workbookViewId="0">
      <selection activeCell="B7" sqref="B7:E7"/>
    </sheetView>
  </sheetViews>
  <sheetFormatPr baseColWidth="10" defaultRowHeight="14.5" x14ac:dyDescent="0.35"/>
  <cols>
    <col min="1" max="1" width="34.81640625" customWidth="1"/>
    <col min="2" max="2" width="24.1796875" customWidth="1"/>
    <col min="3" max="3" width="24.453125" customWidth="1"/>
    <col min="4" max="4" width="6" customWidth="1"/>
    <col min="5" max="5" width="21.81640625" customWidth="1"/>
  </cols>
  <sheetData>
    <row r="1" spans="1:5" ht="25.5" x14ac:dyDescent="0.35">
      <c r="A1" s="5" t="s">
        <v>78</v>
      </c>
      <c r="B1" s="6"/>
      <c r="C1" s="146" t="s">
        <v>85</v>
      </c>
      <c r="D1" s="146"/>
      <c r="E1" s="147"/>
    </row>
    <row r="2" spans="1:5" ht="25.5" x14ac:dyDescent="0.35">
      <c r="A2" s="7"/>
      <c r="B2" s="8"/>
      <c r="C2" s="148"/>
      <c r="D2" s="148"/>
      <c r="E2" s="149"/>
    </row>
    <row r="3" spans="1:5" ht="29" x14ac:dyDescent="0.35">
      <c r="A3" s="9" t="s">
        <v>86</v>
      </c>
      <c r="B3" s="10" t="s">
        <v>87</v>
      </c>
      <c r="C3" s="11" t="s">
        <v>88</v>
      </c>
      <c r="D3" s="12"/>
      <c r="E3" s="13" t="s">
        <v>80</v>
      </c>
    </row>
    <row r="4" spans="1:5" x14ac:dyDescent="0.35">
      <c r="A4" s="14" t="s">
        <v>89</v>
      </c>
      <c r="B4" s="15" t="str">
        <f>+'Patientenbeteiligung 2026'!C8&amp;" "&amp;TEXT('Patientenbeteiligung 2026'!D21,"MM.JJ")</f>
        <v>S111111 01.26</v>
      </c>
      <c r="C4" s="3" t="s">
        <v>90</v>
      </c>
      <c r="D4" s="16"/>
      <c r="E4" s="17">
        <f ca="1">TODAY()</f>
        <v>46199</v>
      </c>
    </row>
    <row r="5" spans="1:5" x14ac:dyDescent="0.35">
      <c r="A5" s="9" t="s">
        <v>79</v>
      </c>
      <c r="B5" s="129" t="s">
        <v>91</v>
      </c>
      <c r="C5" s="130"/>
      <c r="D5" s="130"/>
      <c r="E5" s="131"/>
    </row>
    <row r="6" spans="1:5" x14ac:dyDescent="0.35">
      <c r="A6" s="150">
        <v>25</v>
      </c>
      <c r="B6" s="153" t="str">
        <f>+'Patientenbeteiligung 2026'!F10</f>
        <v>ORGANISATIONS NAME</v>
      </c>
      <c r="C6" s="154"/>
      <c r="D6" s="154"/>
      <c r="E6" s="155"/>
    </row>
    <row r="7" spans="1:5" x14ac:dyDescent="0.35">
      <c r="A7" s="151"/>
      <c r="B7" s="153" t="str">
        <f>+'Patientenbeteiligung 2026'!F5</f>
        <v>Pflegestr. 1</v>
      </c>
      <c r="C7" s="154"/>
      <c r="D7" s="154"/>
      <c r="E7" s="155"/>
    </row>
    <row r="8" spans="1:5" x14ac:dyDescent="0.35">
      <c r="A8" s="151"/>
      <c r="B8" s="156" t="str">
        <f>+'Patientenbeteiligung 2026'!F6&amp;" "&amp;'Patientenbeteiligung 2026'!F7</f>
        <v>4500 Solothurn</v>
      </c>
      <c r="C8" s="154"/>
      <c r="D8" s="154"/>
      <c r="E8" s="155"/>
    </row>
    <row r="9" spans="1:5" x14ac:dyDescent="0.35">
      <c r="A9" s="152"/>
      <c r="B9" s="156" t="str">
        <f>"Kto.-Inh. "&amp;'Patientenbeteiligung 2026'!F10</f>
        <v>Kto.-Inh. ORGANISATIONS NAME</v>
      </c>
      <c r="C9" s="154"/>
      <c r="D9" s="154"/>
      <c r="E9" s="155"/>
    </row>
    <row r="10" spans="1:5" ht="43.5" x14ac:dyDescent="0.35">
      <c r="A10" s="19" t="s">
        <v>92</v>
      </c>
      <c r="B10" s="129" t="s">
        <v>93</v>
      </c>
      <c r="C10" s="130"/>
      <c r="D10" s="130"/>
      <c r="E10" s="131"/>
    </row>
    <row r="11" spans="1:5" x14ac:dyDescent="0.35">
      <c r="A11" s="20" t="str">
        <f>+'Patientenbeteiligung 2026'!F11</f>
        <v>CH1111111111111111111</v>
      </c>
      <c r="B11" s="132" t="str">
        <f>+'Patientenbeteiligung 2026'!C5&amp;" "&amp;TEXT('Patientenbeteiligung 2026'!D19,"TT.MM.JJ")&amp;" "&amp;TEXT('Patientenbeteiligung 2026'!D21,"MM.JJ")</f>
        <v>ORGANISATIONS NAME 01.01.20 01.26</v>
      </c>
      <c r="C11" s="133"/>
      <c r="D11" s="133"/>
      <c r="E11" s="134"/>
    </row>
    <row r="12" spans="1:5" x14ac:dyDescent="0.35">
      <c r="A12" s="9" t="s">
        <v>81</v>
      </c>
      <c r="B12" s="135"/>
      <c r="C12" s="136"/>
      <c r="D12" s="136"/>
      <c r="E12" s="137"/>
    </row>
    <row r="13" spans="1:5" x14ac:dyDescent="0.35">
      <c r="A13" s="21"/>
      <c r="B13" s="138"/>
      <c r="C13" s="136"/>
      <c r="D13" s="136"/>
      <c r="E13" s="137"/>
    </row>
    <row r="14" spans="1:5" ht="58" x14ac:dyDescent="0.35">
      <c r="A14" s="19" t="s">
        <v>82</v>
      </c>
      <c r="B14" s="138"/>
      <c r="C14" s="136"/>
      <c r="D14" s="136"/>
      <c r="E14" s="137"/>
    </row>
    <row r="15" spans="1:5" x14ac:dyDescent="0.35">
      <c r="A15" s="22"/>
      <c r="B15" s="138"/>
      <c r="C15" s="136"/>
      <c r="D15" s="136"/>
      <c r="E15" s="137"/>
    </row>
    <row r="16" spans="1:5" x14ac:dyDescent="0.35">
      <c r="A16" s="9" t="s">
        <v>94</v>
      </c>
      <c r="B16" s="138"/>
      <c r="C16" s="136"/>
      <c r="D16" s="136"/>
      <c r="E16" s="137"/>
    </row>
    <row r="17" spans="1:5" x14ac:dyDescent="0.35">
      <c r="A17" s="14" t="s">
        <v>104</v>
      </c>
      <c r="B17" s="139"/>
      <c r="C17" s="140"/>
      <c r="D17" s="140"/>
      <c r="E17" s="141"/>
    </row>
    <row r="18" spans="1:5" x14ac:dyDescent="0.35">
      <c r="A18" s="9" t="s">
        <v>95</v>
      </c>
      <c r="B18" s="23" t="s">
        <v>96</v>
      </c>
      <c r="C18" s="18" t="s">
        <v>83</v>
      </c>
      <c r="D18" s="18"/>
      <c r="E18" s="24" t="s">
        <v>97</v>
      </c>
    </row>
    <row r="19" spans="1:5" x14ac:dyDescent="0.35">
      <c r="A19" s="14">
        <v>1015073</v>
      </c>
      <c r="B19" s="25"/>
      <c r="C19" s="25"/>
      <c r="D19" s="26"/>
      <c r="E19" s="27">
        <f>+'Patientenbeteiligung 2026'!D58</f>
        <v>0</v>
      </c>
    </row>
    <row r="20" spans="1:5" x14ac:dyDescent="0.35">
      <c r="A20" s="14" t="str">
        <f>+"Formular"&amp;" "&amp;'Patientenbeteiligung 2026'!F2</f>
        <v>Formular K 2026 PB</v>
      </c>
      <c r="B20" s="22"/>
      <c r="C20" s="22"/>
      <c r="D20" s="28"/>
      <c r="E20" s="29"/>
    </row>
    <row r="21" spans="1:5" x14ac:dyDescent="0.35">
      <c r="A21" s="14"/>
      <c r="B21" s="30"/>
      <c r="C21" s="30"/>
      <c r="D21" s="31"/>
      <c r="E21" s="4"/>
    </row>
    <row r="22" spans="1:5" x14ac:dyDescent="0.35">
      <c r="A22" s="14"/>
      <c r="B22" s="30"/>
      <c r="C22" s="30"/>
      <c r="D22" s="31"/>
      <c r="E22" s="4"/>
    </row>
    <row r="23" spans="1:5" x14ac:dyDescent="0.35">
      <c r="A23" s="14"/>
      <c r="B23" s="30"/>
      <c r="C23" s="30"/>
      <c r="D23" s="31"/>
      <c r="E23" s="4"/>
    </row>
    <row r="24" spans="1:5" x14ac:dyDescent="0.35">
      <c r="A24" s="142"/>
      <c r="B24" s="143"/>
      <c r="C24" s="14" t="s">
        <v>84</v>
      </c>
      <c r="D24" s="32" t="s">
        <v>59</v>
      </c>
      <c r="E24" s="4">
        <f>SUM(E19:E23)</f>
        <v>0</v>
      </c>
    </row>
    <row r="25" spans="1:5" x14ac:dyDescent="0.35">
      <c r="A25" s="9" t="s">
        <v>75</v>
      </c>
      <c r="B25" s="33" t="s">
        <v>76</v>
      </c>
      <c r="C25" s="144" t="s">
        <v>77</v>
      </c>
      <c r="D25" s="145"/>
      <c r="E25" s="128"/>
    </row>
    <row r="26" spans="1:5" ht="43.5" x14ac:dyDescent="0.35">
      <c r="A26" s="19" t="s">
        <v>98</v>
      </c>
      <c r="B26" s="34" t="s">
        <v>99</v>
      </c>
      <c r="C26" s="126" t="s">
        <v>100</v>
      </c>
      <c r="D26" s="127"/>
      <c r="E26" s="128"/>
    </row>
    <row r="27" spans="1:5" ht="58" x14ac:dyDescent="0.35">
      <c r="A27" s="19" t="s">
        <v>101</v>
      </c>
      <c r="B27" s="34" t="s">
        <v>99</v>
      </c>
      <c r="C27" s="126" t="s">
        <v>100</v>
      </c>
      <c r="D27" s="127"/>
      <c r="E27" s="128"/>
    </row>
  </sheetData>
  <sheetProtection algorithmName="SHA-512" hashValue="/jITRiHWIW/e5zUpfIab+O5HBv7hdswtA7Xd202hJBBiR/x0BaV6gN/zYoktHdiLuKUGnvotsfzHw+vv+d6gZg==" saltValue="fMw6PQRpSi0naDpIQdjW1w==" spinCount="100000" sheet="1" objects="1" scenarios="1"/>
  <mergeCells count="15">
    <mergeCell ref="C1:E1"/>
    <mergeCell ref="C2:E2"/>
    <mergeCell ref="B5:E5"/>
    <mergeCell ref="A6:A9"/>
    <mergeCell ref="B6:E6"/>
    <mergeCell ref="B7:E7"/>
    <mergeCell ref="B8:E8"/>
    <mergeCell ref="B9:E9"/>
    <mergeCell ref="C27:E27"/>
    <mergeCell ref="B10:E10"/>
    <mergeCell ref="B11:E11"/>
    <mergeCell ref="B12:E17"/>
    <mergeCell ref="A24:B24"/>
    <mergeCell ref="C25:E25"/>
    <mergeCell ref="C26:E26"/>
  </mergeCells>
  <dataValidations count="6">
    <dataValidation type="textLength" allowBlank="1" showInputMessage="1" showErrorMessage="1" sqref="C4" xr:uid="{B88F7363-5141-4E1F-A678-0169BE7802DE}">
      <formula1>0</formula1>
      <formula2>20</formula2>
    </dataValidation>
    <dataValidation type="list" allowBlank="1" showInputMessage="1" showErrorMessage="1" sqref="D24" xr:uid="{E173C535-C549-4424-95D9-0B376DB03705}">
      <formula1>"CHF,EUR"</formula1>
    </dataValidation>
    <dataValidation type="textLength" allowBlank="1" showInputMessage="1" showErrorMessage="1" sqref="B12 B11:E11" xr:uid="{AE1679BB-E6C4-4447-83F4-273467144086}">
      <formula1>0</formula1>
      <formula2>50</formula2>
    </dataValidation>
    <dataValidation operator="equal" allowBlank="1" showInputMessage="1" showErrorMessage="1" sqref="A24 C24" xr:uid="{5228C21D-625B-462B-95A8-032404721CAD}"/>
    <dataValidation type="textLength" operator="equal" allowBlank="1" showInputMessage="1" showErrorMessage="1" sqref="A19 A21:A23" xr:uid="{6FA596CF-1A91-46BA-8972-E5CD0B1CF09C}">
      <formula1>7</formula1>
    </dataValidation>
    <dataValidation type="textLength" allowBlank="1" showInputMessage="1" showErrorMessage="1" sqref="D4" xr:uid="{92670D4D-8F3B-4081-B61E-4D9CA1C7D136}">
      <formula1>0</formula1>
      <formula2>16</formula2>
    </dataValidation>
  </dataValidations>
  <pageMargins left="0.70866141732283472" right="0.70866141732283472" top="0.78740157480314965" bottom="0.78740157480314965" header="0.31496062992125984" footer="0.31496062992125984"/>
  <pageSetup paperSize="9" scale="77" orientation="portrait" horizontalDpi="30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F22"/>
  <sheetViews>
    <sheetView workbookViewId="0">
      <selection sqref="A1:XFD1048576"/>
    </sheetView>
  </sheetViews>
  <sheetFormatPr baseColWidth="10" defaultRowHeight="14.5" x14ac:dyDescent="0.35"/>
  <cols>
    <col min="1" max="1" width="15.26953125" bestFit="1" customWidth="1"/>
    <col min="2" max="32" width="10.1796875" bestFit="1" customWidth="1"/>
  </cols>
  <sheetData>
    <row r="1" spans="1:32" x14ac:dyDescent="0.35">
      <c r="A1" t="s">
        <v>31</v>
      </c>
    </row>
    <row r="2" spans="1:32" x14ac:dyDescent="0.35">
      <c r="A2" s="1">
        <v>46023</v>
      </c>
      <c r="B2" s="2">
        <v>46023</v>
      </c>
      <c r="C2" s="2">
        <v>46024</v>
      </c>
      <c r="D2" s="2">
        <v>46025</v>
      </c>
      <c r="E2" s="2">
        <v>46026</v>
      </c>
      <c r="F2" s="2">
        <v>46027</v>
      </c>
      <c r="G2" s="2">
        <v>46028</v>
      </c>
      <c r="H2" s="2">
        <v>46029</v>
      </c>
      <c r="I2" s="2">
        <v>46030</v>
      </c>
      <c r="J2" s="2">
        <v>46031</v>
      </c>
      <c r="K2" s="2">
        <v>46032</v>
      </c>
      <c r="L2" s="2">
        <v>46033</v>
      </c>
      <c r="M2" s="2">
        <v>46034</v>
      </c>
      <c r="N2" s="2">
        <v>46035</v>
      </c>
      <c r="O2" s="2">
        <v>46036</v>
      </c>
      <c r="P2" s="2">
        <v>46037</v>
      </c>
      <c r="Q2" s="2">
        <v>46038</v>
      </c>
      <c r="R2" s="2">
        <v>46039</v>
      </c>
      <c r="S2" s="2">
        <v>46040</v>
      </c>
      <c r="T2" s="2">
        <v>46041</v>
      </c>
      <c r="U2" s="2">
        <v>46042</v>
      </c>
      <c r="V2" s="2">
        <v>46043</v>
      </c>
      <c r="W2" s="2">
        <v>46044</v>
      </c>
      <c r="X2" s="2">
        <v>46045</v>
      </c>
      <c r="Y2" s="2">
        <v>46046</v>
      </c>
      <c r="Z2" s="2">
        <v>46047</v>
      </c>
      <c r="AA2" s="2">
        <v>46048</v>
      </c>
      <c r="AB2" s="2">
        <v>46049</v>
      </c>
      <c r="AC2" s="2">
        <v>46050</v>
      </c>
      <c r="AD2" s="2">
        <v>46051</v>
      </c>
      <c r="AE2" s="2">
        <v>46052</v>
      </c>
      <c r="AF2" s="2">
        <v>46053</v>
      </c>
    </row>
    <row r="3" spans="1:32" x14ac:dyDescent="0.35">
      <c r="A3" s="1">
        <v>46054</v>
      </c>
      <c r="B3" s="2">
        <v>46054</v>
      </c>
      <c r="C3" s="2">
        <v>46055</v>
      </c>
      <c r="D3" s="2">
        <v>46056</v>
      </c>
      <c r="E3" s="2">
        <v>46057</v>
      </c>
      <c r="F3" s="2">
        <v>46058</v>
      </c>
      <c r="G3" s="2">
        <v>46059</v>
      </c>
      <c r="H3" s="2">
        <v>46060</v>
      </c>
      <c r="I3" s="2">
        <v>46061</v>
      </c>
      <c r="J3" s="2">
        <v>46062</v>
      </c>
      <c r="K3" s="2">
        <v>46063</v>
      </c>
      <c r="L3" s="2">
        <v>46064</v>
      </c>
      <c r="M3" s="2">
        <v>46065</v>
      </c>
      <c r="N3" s="2">
        <v>46066</v>
      </c>
      <c r="O3" s="2">
        <v>46067</v>
      </c>
      <c r="P3" s="2">
        <v>46068</v>
      </c>
      <c r="Q3" s="2">
        <v>46069</v>
      </c>
      <c r="R3" s="2">
        <v>46070</v>
      </c>
      <c r="S3" s="2">
        <v>46071</v>
      </c>
      <c r="T3" s="2">
        <v>46072</v>
      </c>
      <c r="U3" s="2">
        <v>46073</v>
      </c>
      <c r="V3" s="2">
        <v>46074</v>
      </c>
      <c r="W3" s="2">
        <v>46075</v>
      </c>
      <c r="X3" s="2">
        <v>46076</v>
      </c>
      <c r="Y3" s="2">
        <v>46077</v>
      </c>
      <c r="Z3" s="2">
        <v>46078</v>
      </c>
      <c r="AA3" s="2">
        <v>46079</v>
      </c>
      <c r="AB3" s="2">
        <v>46080</v>
      </c>
      <c r="AC3" s="2">
        <v>46081</v>
      </c>
      <c r="AD3" s="2"/>
      <c r="AE3" s="2" t="str">
        <f>""</f>
        <v/>
      </c>
      <c r="AF3" s="2" t="str">
        <f>""</f>
        <v/>
      </c>
    </row>
    <row r="4" spans="1:32" x14ac:dyDescent="0.35">
      <c r="A4" s="1">
        <v>46082</v>
      </c>
      <c r="B4" s="2">
        <v>46082</v>
      </c>
      <c r="C4" s="2">
        <v>46083</v>
      </c>
      <c r="D4" s="2">
        <v>46084</v>
      </c>
      <c r="E4" s="2">
        <v>46085</v>
      </c>
      <c r="F4" s="2">
        <v>46086</v>
      </c>
      <c r="G4" s="2">
        <v>46087</v>
      </c>
      <c r="H4" s="2">
        <v>46088</v>
      </c>
      <c r="I4" s="2">
        <v>46089</v>
      </c>
      <c r="J4" s="2">
        <v>46090</v>
      </c>
      <c r="K4" s="2">
        <v>46091</v>
      </c>
      <c r="L4" s="2">
        <v>46092</v>
      </c>
      <c r="M4" s="2">
        <v>46093</v>
      </c>
      <c r="N4" s="2">
        <v>46094</v>
      </c>
      <c r="O4" s="2">
        <v>46095</v>
      </c>
      <c r="P4" s="2">
        <v>46096</v>
      </c>
      <c r="Q4" s="2">
        <v>46097</v>
      </c>
      <c r="R4" s="2">
        <v>46098</v>
      </c>
      <c r="S4" s="2">
        <v>46099</v>
      </c>
      <c r="T4" s="2">
        <v>46100</v>
      </c>
      <c r="U4" s="2">
        <v>46101</v>
      </c>
      <c r="V4" s="2">
        <v>46102</v>
      </c>
      <c r="W4" s="2">
        <v>46103</v>
      </c>
      <c r="X4" s="2">
        <v>46104</v>
      </c>
      <c r="Y4" s="2">
        <v>46105</v>
      </c>
      <c r="Z4" s="2">
        <v>46106</v>
      </c>
      <c r="AA4" s="2">
        <v>46107</v>
      </c>
      <c r="AB4" s="2">
        <v>46108</v>
      </c>
      <c r="AC4" s="2">
        <v>46109</v>
      </c>
      <c r="AD4" s="2">
        <v>46110</v>
      </c>
      <c r="AE4" s="2">
        <v>46111</v>
      </c>
      <c r="AF4" s="2">
        <v>46112</v>
      </c>
    </row>
    <row r="5" spans="1:32" x14ac:dyDescent="0.35">
      <c r="A5" s="1">
        <v>46113</v>
      </c>
      <c r="B5" s="2">
        <v>46113</v>
      </c>
      <c r="C5" s="2">
        <v>46114</v>
      </c>
      <c r="D5" s="2">
        <v>46115</v>
      </c>
      <c r="E5" s="2">
        <v>46116</v>
      </c>
      <c r="F5" s="2">
        <v>46117</v>
      </c>
      <c r="G5" s="2">
        <v>46118</v>
      </c>
      <c r="H5" s="2">
        <v>46119</v>
      </c>
      <c r="I5" s="2">
        <v>46120</v>
      </c>
      <c r="J5" s="2">
        <v>46121</v>
      </c>
      <c r="K5" s="2">
        <v>46122</v>
      </c>
      <c r="L5" s="2">
        <v>46123</v>
      </c>
      <c r="M5" s="2">
        <v>46124</v>
      </c>
      <c r="N5" s="2">
        <v>46125</v>
      </c>
      <c r="O5" s="2">
        <v>46126</v>
      </c>
      <c r="P5" s="2">
        <v>46127</v>
      </c>
      <c r="Q5" s="2">
        <v>46128</v>
      </c>
      <c r="R5" s="2">
        <v>46129</v>
      </c>
      <c r="S5" s="2">
        <v>46130</v>
      </c>
      <c r="T5" s="2">
        <v>46131</v>
      </c>
      <c r="U5" s="2">
        <v>46132</v>
      </c>
      <c r="V5" s="2">
        <v>46133</v>
      </c>
      <c r="W5" s="2">
        <v>46134</v>
      </c>
      <c r="X5" s="2">
        <v>46135</v>
      </c>
      <c r="Y5" s="2">
        <v>46136</v>
      </c>
      <c r="Z5" s="2">
        <v>46137</v>
      </c>
      <c r="AA5" s="2">
        <v>46138</v>
      </c>
      <c r="AB5" s="2">
        <v>46139</v>
      </c>
      <c r="AC5" s="2">
        <v>46140</v>
      </c>
      <c r="AD5" s="2">
        <v>46141</v>
      </c>
      <c r="AE5" s="2">
        <v>46142</v>
      </c>
      <c r="AF5" s="2" t="str">
        <f>""</f>
        <v/>
      </c>
    </row>
    <row r="6" spans="1:32" x14ac:dyDescent="0.35">
      <c r="A6" s="1">
        <v>46143</v>
      </c>
      <c r="B6" s="2">
        <v>46143</v>
      </c>
      <c r="C6" s="2">
        <v>46144</v>
      </c>
      <c r="D6" s="2">
        <v>46145</v>
      </c>
      <c r="E6" s="2">
        <v>46146</v>
      </c>
      <c r="F6" s="2">
        <v>46147</v>
      </c>
      <c r="G6" s="2">
        <v>46148</v>
      </c>
      <c r="H6" s="2">
        <v>46149</v>
      </c>
      <c r="I6" s="2">
        <v>46150</v>
      </c>
      <c r="J6" s="2">
        <v>46151</v>
      </c>
      <c r="K6" s="2">
        <v>46152</v>
      </c>
      <c r="L6" s="2">
        <v>46153</v>
      </c>
      <c r="M6" s="2">
        <v>46154</v>
      </c>
      <c r="N6" s="2">
        <v>46155</v>
      </c>
      <c r="O6" s="2">
        <v>46156</v>
      </c>
      <c r="P6" s="2">
        <v>46157</v>
      </c>
      <c r="Q6" s="2">
        <v>46158</v>
      </c>
      <c r="R6" s="2">
        <v>46159</v>
      </c>
      <c r="S6" s="2">
        <v>46160</v>
      </c>
      <c r="T6" s="2">
        <v>46161</v>
      </c>
      <c r="U6" s="2">
        <v>46162</v>
      </c>
      <c r="V6" s="2">
        <v>46163</v>
      </c>
      <c r="W6" s="2">
        <v>46164</v>
      </c>
      <c r="X6" s="2">
        <v>46165</v>
      </c>
      <c r="Y6" s="2">
        <v>46166</v>
      </c>
      <c r="Z6" s="2">
        <v>46167</v>
      </c>
      <c r="AA6" s="2">
        <v>46168</v>
      </c>
      <c r="AB6" s="2">
        <v>46169</v>
      </c>
      <c r="AC6" s="2">
        <v>46170</v>
      </c>
      <c r="AD6" s="2">
        <v>46171</v>
      </c>
      <c r="AE6" s="2">
        <v>46172</v>
      </c>
      <c r="AF6" s="2">
        <v>46173</v>
      </c>
    </row>
    <row r="7" spans="1:32" x14ac:dyDescent="0.35">
      <c r="A7" s="1">
        <v>46174</v>
      </c>
      <c r="B7" s="2">
        <v>46174</v>
      </c>
      <c r="C7" s="2">
        <v>46175</v>
      </c>
      <c r="D7" s="2">
        <v>46176</v>
      </c>
      <c r="E7" s="2">
        <v>46177</v>
      </c>
      <c r="F7" s="2">
        <v>46178</v>
      </c>
      <c r="G7" s="2">
        <v>46179</v>
      </c>
      <c r="H7" s="2">
        <v>46180</v>
      </c>
      <c r="I7" s="2">
        <v>46181</v>
      </c>
      <c r="J7" s="2">
        <v>46182</v>
      </c>
      <c r="K7" s="2">
        <v>46183</v>
      </c>
      <c r="L7" s="2">
        <v>46184</v>
      </c>
      <c r="M7" s="2">
        <v>46185</v>
      </c>
      <c r="N7" s="2">
        <v>46186</v>
      </c>
      <c r="O7" s="2">
        <v>46187</v>
      </c>
      <c r="P7" s="2">
        <v>46188</v>
      </c>
      <c r="Q7" s="2">
        <v>46189</v>
      </c>
      <c r="R7" s="2">
        <v>46190</v>
      </c>
      <c r="S7" s="2">
        <v>46191</v>
      </c>
      <c r="T7" s="2">
        <v>46192</v>
      </c>
      <c r="U7" s="2">
        <v>46193</v>
      </c>
      <c r="V7" s="2">
        <v>46194</v>
      </c>
      <c r="W7" s="2">
        <v>46195</v>
      </c>
      <c r="X7" s="2">
        <v>46196</v>
      </c>
      <c r="Y7" s="2">
        <v>46197</v>
      </c>
      <c r="Z7" s="2">
        <v>46198</v>
      </c>
      <c r="AA7" s="2">
        <v>46199</v>
      </c>
      <c r="AB7" s="2">
        <v>46200</v>
      </c>
      <c r="AC7" s="2">
        <v>46201</v>
      </c>
      <c r="AD7" s="2">
        <v>46202</v>
      </c>
      <c r="AE7" s="2">
        <v>46203</v>
      </c>
      <c r="AF7" s="2" t="str">
        <f>""</f>
        <v/>
      </c>
    </row>
    <row r="8" spans="1:32" x14ac:dyDescent="0.35">
      <c r="A8" s="1">
        <v>46204</v>
      </c>
      <c r="B8" s="2">
        <v>46204</v>
      </c>
      <c r="C8" s="2">
        <v>46205</v>
      </c>
      <c r="D8" s="2">
        <v>46206</v>
      </c>
      <c r="E8" s="2">
        <v>46207</v>
      </c>
      <c r="F8" s="2">
        <v>46208</v>
      </c>
      <c r="G8" s="2">
        <v>46209</v>
      </c>
      <c r="H8" s="2">
        <v>46210</v>
      </c>
      <c r="I8" s="2">
        <v>46211</v>
      </c>
      <c r="J8" s="2">
        <v>46212</v>
      </c>
      <c r="K8" s="2">
        <v>46213</v>
      </c>
      <c r="L8" s="2">
        <v>46214</v>
      </c>
      <c r="M8" s="2">
        <v>46215</v>
      </c>
      <c r="N8" s="2">
        <v>46216</v>
      </c>
      <c r="O8" s="2">
        <v>46217</v>
      </c>
      <c r="P8" s="2">
        <v>46218</v>
      </c>
      <c r="Q8" s="2">
        <v>46219</v>
      </c>
      <c r="R8" s="2">
        <v>46220</v>
      </c>
      <c r="S8" s="2">
        <v>46221</v>
      </c>
      <c r="T8" s="2">
        <v>46222</v>
      </c>
      <c r="U8" s="2">
        <v>46223</v>
      </c>
      <c r="V8" s="2">
        <v>46224</v>
      </c>
      <c r="W8" s="2">
        <v>46225</v>
      </c>
      <c r="X8" s="2">
        <v>46226</v>
      </c>
      <c r="Y8" s="2">
        <v>46227</v>
      </c>
      <c r="Z8" s="2">
        <v>46228</v>
      </c>
      <c r="AA8" s="2">
        <v>46229</v>
      </c>
      <c r="AB8" s="2">
        <v>46230</v>
      </c>
      <c r="AC8" s="2">
        <v>46231</v>
      </c>
      <c r="AD8" s="2">
        <v>46232</v>
      </c>
      <c r="AE8" s="2">
        <v>46233</v>
      </c>
      <c r="AF8" s="2">
        <v>46234</v>
      </c>
    </row>
    <row r="9" spans="1:32" x14ac:dyDescent="0.35">
      <c r="A9" s="1">
        <v>46235</v>
      </c>
      <c r="B9" s="2">
        <v>46235</v>
      </c>
      <c r="C9" s="2">
        <v>46236</v>
      </c>
      <c r="D9" s="2">
        <v>46237</v>
      </c>
      <c r="E9" s="2">
        <v>46238</v>
      </c>
      <c r="F9" s="2">
        <v>46239</v>
      </c>
      <c r="G9" s="2">
        <v>46240</v>
      </c>
      <c r="H9" s="2">
        <v>46241</v>
      </c>
      <c r="I9" s="2">
        <v>46242</v>
      </c>
      <c r="J9" s="2">
        <v>46243</v>
      </c>
      <c r="K9" s="2">
        <v>46244</v>
      </c>
      <c r="L9" s="2">
        <v>46245</v>
      </c>
      <c r="M9" s="2">
        <v>46246</v>
      </c>
      <c r="N9" s="2">
        <v>46247</v>
      </c>
      <c r="O9" s="2">
        <v>46248</v>
      </c>
      <c r="P9" s="2">
        <v>46249</v>
      </c>
      <c r="Q9" s="2">
        <v>46250</v>
      </c>
      <c r="R9" s="2">
        <v>46251</v>
      </c>
      <c r="S9" s="2">
        <v>46252</v>
      </c>
      <c r="T9" s="2">
        <v>46253</v>
      </c>
      <c r="U9" s="2">
        <v>46254</v>
      </c>
      <c r="V9" s="2">
        <v>46255</v>
      </c>
      <c r="W9" s="2">
        <v>46256</v>
      </c>
      <c r="X9" s="2">
        <v>46257</v>
      </c>
      <c r="Y9" s="2">
        <v>46258</v>
      </c>
      <c r="Z9" s="2">
        <v>46259</v>
      </c>
      <c r="AA9" s="2">
        <v>46260</v>
      </c>
      <c r="AB9" s="2">
        <v>46261</v>
      </c>
      <c r="AC9" s="2">
        <v>46262</v>
      </c>
      <c r="AD9" s="2">
        <v>46263</v>
      </c>
      <c r="AE9" s="2">
        <v>46264</v>
      </c>
      <c r="AF9" s="2">
        <v>46265</v>
      </c>
    </row>
    <row r="10" spans="1:32" x14ac:dyDescent="0.35">
      <c r="A10" s="1">
        <v>46266</v>
      </c>
      <c r="B10" s="2">
        <v>46266</v>
      </c>
      <c r="C10" s="2">
        <v>46267</v>
      </c>
      <c r="D10" s="2">
        <v>46268</v>
      </c>
      <c r="E10" s="2">
        <v>46269</v>
      </c>
      <c r="F10" s="2">
        <v>46270</v>
      </c>
      <c r="G10" s="2">
        <v>46271</v>
      </c>
      <c r="H10" s="2">
        <v>46272</v>
      </c>
      <c r="I10" s="2">
        <v>46273</v>
      </c>
      <c r="J10" s="2">
        <v>46274</v>
      </c>
      <c r="K10" s="2">
        <v>46275</v>
      </c>
      <c r="L10" s="2">
        <v>46276</v>
      </c>
      <c r="M10" s="2">
        <v>46277</v>
      </c>
      <c r="N10" s="2">
        <v>46278</v>
      </c>
      <c r="O10" s="2">
        <v>46279</v>
      </c>
      <c r="P10" s="2">
        <v>46280</v>
      </c>
      <c r="Q10" s="2">
        <v>46281</v>
      </c>
      <c r="R10" s="2">
        <v>46282</v>
      </c>
      <c r="S10" s="2">
        <v>46283</v>
      </c>
      <c r="T10" s="2">
        <v>46284</v>
      </c>
      <c r="U10" s="2">
        <v>46285</v>
      </c>
      <c r="V10" s="2">
        <v>46286</v>
      </c>
      <c r="W10" s="2">
        <v>46287</v>
      </c>
      <c r="X10" s="2">
        <v>46288</v>
      </c>
      <c r="Y10" s="2">
        <v>46289</v>
      </c>
      <c r="Z10" s="2">
        <v>46290</v>
      </c>
      <c r="AA10" s="2">
        <v>46291</v>
      </c>
      <c r="AB10" s="2">
        <v>46292</v>
      </c>
      <c r="AC10" s="2">
        <v>46293</v>
      </c>
      <c r="AD10" s="2">
        <v>46294</v>
      </c>
      <c r="AE10" s="2">
        <v>46295</v>
      </c>
      <c r="AF10" s="2" t="str">
        <f>""</f>
        <v/>
      </c>
    </row>
    <row r="11" spans="1:32" x14ac:dyDescent="0.35">
      <c r="A11" s="1">
        <v>46296</v>
      </c>
      <c r="B11" s="2">
        <v>46296</v>
      </c>
      <c r="C11" s="2">
        <v>46297</v>
      </c>
      <c r="D11" s="2">
        <v>46298</v>
      </c>
      <c r="E11" s="2">
        <v>46299</v>
      </c>
      <c r="F11" s="2">
        <v>46300</v>
      </c>
      <c r="G11" s="2">
        <v>46301</v>
      </c>
      <c r="H11" s="2">
        <v>46302</v>
      </c>
      <c r="I11" s="2">
        <v>46303</v>
      </c>
      <c r="J11" s="2">
        <v>46304</v>
      </c>
      <c r="K11" s="2">
        <v>46305</v>
      </c>
      <c r="L11" s="2">
        <v>46306</v>
      </c>
      <c r="M11" s="2">
        <v>46307</v>
      </c>
      <c r="N11" s="2">
        <v>46308</v>
      </c>
      <c r="O11" s="2">
        <v>46309</v>
      </c>
      <c r="P11" s="2">
        <v>46310</v>
      </c>
      <c r="Q11" s="2">
        <v>46311</v>
      </c>
      <c r="R11" s="2">
        <v>46312</v>
      </c>
      <c r="S11" s="2">
        <v>46313</v>
      </c>
      <c r="T11" s="2">
        <v>46314</v>
      </c>
      <c r="U11" s="2">
        <v>46315</v>
      </c>
      <c r="V11" s="2">
        <v>46316</v>
      </c>
      <c r="W11" s="2">
        <v>46317</v>
      </c>
      <c r="X11" s="2">
        <v>46318</v>
      </c>
      <c r="Y11" s="2">
        <v>46319</v>
      </c>
      <c r="Z11" s="2">
        <v>46320</v>
      </c>
      <c r="AA11" s="2">
        <v>46321</v>
      </c>
      <c r="AB11" s="2">
        <v>46322</v>
      </c>
      <c r="AC11" s="2">
        <v>46323</v>
      </c>
      <c r="AD11" s="2">
        <v>46324</v>
      </c>
      <c r="AE11" s="2">
        <v>46325</v>
      </c>
      <c r="AF11" s="2">
        <v>46326</v>
      </c>
    </row>
    <row r="12" spans="1:32" x14ac:dyDescent="0.35">
      <c r="A12" s="1">
        <v>46327</v>
      </c>
      <c r="B12" s="2">
        <v>46327</v>
      </c>
      <c r="C12" s="2">
        <v>46328</v>
      </c>
      <c r="D12" s="2">
        <v>46329</v>
      </c>
      <c r="E12" s="2">
        <v>46330</v>
      </c>
      <c r="F12" s="2">
        <v>46331</v>
      </c>
      <c r="G12" s="2">
        <v>46332</v>
      </c>
      <c r="H12" s="2">
        <v>46333</v>
      </c>
      <c r="I12" s="2">
        <v>46334</v>
      </c>
      <c r="J12" s="2">
        <v>46335</v>
      </c>
      <c r="K12" s="2">
        <v>46336</v>
      </c>
      <c r="L12" s="2">
        <v>46337</v>
      </c>
      <c r="M12" s="2">
        <v>46338</v>
      </c>
      <c r="N12" s="2">
        <v>46339</v>
      </c>
      <c r="O12" s="2">
        <v>46340</v>
      </c>
      <c r="P12" s="2">
        <v>46341</v>
      </c>
      <c r="Q12" s="2">
        <v>46342</v>
      </c>
      <c r="R12" s="2">
        <v>46343</v>
      </c>
      <c r="S12" s="2">
        <v>46344</v>
      </c>
      <c r="T12" s="2">
        <v>46345</v>
      </c>
      <c r="U12" s="2">
        <v>46346</v>
      </c>
      <c r="V12" s="2">
        <v>46347</v>
      </c>
      <c r="W12" s="2">
        <v>46348</v>
      </c>
      <c r="X12" s="2">
        <v>46349</v>
      </c>
      <c r="Y12" s="2">
        <v>46350</v>
      </c>
      <c r="Z12" s="2">
        <v>46351</v>
      </c>
      <c r="AA12" s="2">
        <v>46352</v>
      </c>
      <c r="AB12" s="2">
        <v>46353</v>
      </c>
      <c r="AC12" s="2">
        <v>46354</v>
      </c>
      <c r="AD12" s="2">
        <v>46355</v>
      </c>
      <c r="AE12" s="2">
        <v>46356</v>
      </c>
      <c r="AF12" s="2" t="str">
        <f>""</f>
        <v/>
      </c>
    </row>
    <row r="13" spans="1:32" x14ac:dyDescent="0.35">
      <c r="A13" s="1">
        <v>46357</v>
      </c>
      <c r="B13" s="2">
        <v>46357</v>
      </c>
      <c r="C13" s="2">
        <v>46358</v>
      </c>
      <c r="D13" s="2">
        <v>46359</v>
      </c>
      <c r="E13" s="2">
        <v>46360</v>
      </c>
      <c r="F13" s="2">
        <v>46361</v>
      </c>
      <c r="G13" s="2">
        <v>46362</v>
      </c>
      <c r="H13" s="2">
        <v>46363</v>
      </c>
      <c r="I13" s="2">
        <v>46364</v>
      </c>
      <c r="J13" s="2">
        <v>46365</v>
      </c>
      <c r="K13" s="2">
        <v>46366</v>
      </c>
      <c r="L13" s="2">
        <v>46367</v>
      </c>
      <c r="M13" s="2">
        <v>46368</v>
      </c>
      <c r="N13" s="2">
        <v>46369</v>
      </c>
      <c r="O13" s="2">
        <v>46370</v>
      </c>
      <c r="P13" s="2">
        <v>46371</v>
      </c>
      <c r="Q13" s="2">
        <v>46372</v>
      </c>
      <c r="R13" s="2">
        <v>46373</v>
      </c>
      <c r="S13" s="2">
        <v>46374</v>
      </c>
      <c r="T13" s="2">
        <v>46375</v>
      </c>
      <c r="U13" s="2">
        <v>46376</v>
      </c>
      <c r="V13" s="2">
        <v>46377</v>
      </c>
      <c r="W13" s="2">
        <v>46378</v>
      </c>
      <c r="X13" s="2">
        <v>46379</v>
      </c>
      <c r="Y13" s="2">
        <v>46380</v>
      </c>
      <c r="Z13" s="2">
        <v>46381</v>
      </c>
      <c r="AA13" s="2">
        <v>46382</v>
      </c>
      <c r="AB13" s="2">
        <v>46383</v>
      </c>
      <c r="AC13" s="2">
        <v>46384</v>
      </c>
      <c r="AD13" s="2">
        <v>46385</v>
      </c>
      <c r="AE13" s="2">
        <v>46386</v>
      </c>
      <c r="AF13" s="2">
        <v>46387</v>
      </c>
    </row>
    <row r="21" spans="1:1" x14ac:dyDescent="0.35">
      <c r="A21" t="s">
        <v>32</v>
      </c>
    </row>
    <row r="22" spans="1:1" x14ac:dyDescent="0.35">
      <c r="A22">
        <v>15.35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2</vt:i4>
      </vt:variant>
    </vt:vector>
  </HeadingPairs>
  <TitlesOfParts>
    <vt:vector size="6" baseType="lpstr">
      <vt:lpstr>Patientenbeteiligung 2026</vt:lpstr>
      <vt:lpstr>GEKO</vt:lpstr>
      <vt:lpstr>KWF Beleg</vt:lpstr>
      <vt:lpstr>Parameter</vt:lpstr>
      <vt:lpstr>GEKO!Druckbereich</vt:lpstr>
      <vt:lpstr>'KWF Beleg'!Druckbereich</vt:lpstr>
    </vt:vector>
  </TitlesOfParts>
  <Company>AIO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Baumgartner Michèle</dc:creator>
  <cp:lastModifiedBy>Brugger Philipp</cp:lastModifiedBy>
  <cp:lastPrinted>2026-02-16T07:55:06Z</cp:lastPrinted>
  <dcterms:created xsi:type="dcterms:W3CDTF">2024-02-15T06:51:11Z</dcterms:created>
  <dcterms:modified xsi:type="dcterms:W3CDTF">2026-06-26T15:55:51Z</dcterms:modified>
</cp:coreProperties>
</file>