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FIVWSTAT\03 Arbeit und Erwerb\03_11 Arbeitslosenzahlen\Aktuelle Tabellen Internet\"/>
    </mc:Choice>
  </mc:AlternateContent>
  <xr:revisionPtr revIDLastSave="0" documentId="8_{44D1E791-484E-4DB0-9FC5-7802262A9A76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Jahreswerte" sheetId="2" r:id="rId1"/>
    <sheet name="Monatswerte" sheetId="1" r:id="rId2"/>
    <sheet name="Quoten" sheetId="3" r:id="rId3"/>
    <sheet name="Erwerbspersone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Titles" localSheetId="0">Jahreswerte!$A:$B</definedName>
    <definedName name="_xlnm.Print_Titles" localSheetId="1">Monatswerte!$A:$A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I30" i="3" l="1"/>
  <c r="JH30" i="3"/>
  <c r="JG30" i="3"/>
  <c r="JF30" i="3"/>
  <c r="JE30" i="3"/>
  <c r="JD30" i="3"/>
  <c r="JC30" i="3"/>
  <c r="JB30" i="3"/>
  <c r="JA30" i="3"/>
  <c r="IZ30" i="3"/>
  <c r="IY30" i="3"/>
  <c r="IX30" i="3"/>
  <c r="IW30" i="3"/>
  <c r="IV30" i="3"/>
  <c r="IU30" i="3"/>
  <c r="JI29" i="3"/>
  <c r="JH29" i="3"/>
  <c r="JG29" i="3"/>
  <c r="JF29" i="3"/>
  <c r="JE29" i="3"/>
  <c r="JD29" i="3"/>
  <c r="JC29" i="3"/>
  <c r="JB29" i="3"/>
  <c r="JA29" i="3"/>
  <c r="IZ29" i="3"/>
  <c r="IY29" i="3"/>
  <c r="IX29" i="3"/>
  <c r="IW29" i="3"/>
  <c r="IV29" i="3"/>
  <c r="IU29" i="3"/>
  <c r="JI28" i="3"/>
  <c r="JH28" i="3"/>
  <c r="JG28" i="3"/>
  <c r="JF28" i="3"/>
  <c r="JE28" i="3"/>
  <c r="JD28" i="3"/>
  <c r="JC28" i="3"/>
  <c r="JB28" i="3"/>
  <c r="JA28" i="3"/>
  <c r="IZ28" i="3"/>
  <c r="IY28" i="3"/>
  <c r="IX28" i="3"/>
  <c r="IW28" i="3"/>
  <c r="IV28" i="3"/>
  <c r="IU28" i="3"/>
  <c r="JI27" i="3"/>
  <c r="JH27" i="3"/>
  <c r="JG27" i="3"/>
  <c r="JF27" i="3"/>
  <c r="JE27" i="3"/>
  <c r="JD27" i="3"/>
  <c r="JC27" i="3"/>
  <c r="JB27" i="3"/>
  <c r="JA27" i="3"/>
  <c r="IZ27" i="3"/>
  <c r="IY27" i="3"/>
  <c r="IX27" i="3"/>
  <c r="IW27" i="3"/>
  <c r="IV27" i="3"/>
  <c r="IU27" i="3"/>
  <c r="JI26" i="3"/>
  <c r="JH26" i="3"/>
  <c r="JG26" i="3"/>
  <c r="JF26" i="3"/>
  <c r="JE26" i="3"/>
  <c r="JD26" i="3"/>
  <c r="JC26" i="3"/>
  <c r="JB26" i="3"/>
  <c r="JA26" i="3"/>
  <c r="IZ26" i="3"/>
  <c r="IY26" i="3"/>
  <c r="IX26" i="3"/>
  <c r="IW26" i="3"/>
  <c r="IV26" i="3"/>
  <c r="IU26" i="3"/>
  <c r="JI23" i="3"/>
  <c r="JH23" i="3"/>
  <c r="JG23" i="3"/>
  <c r="JF23" i="3"/>
  <c r="JE23" i="3"/>
  <c r="JD23" i="3"/>
  <c r="JC23" i="3"/>
  <c r="JB23" i="3"/>
  <c r="JA23" i="3"/>
  <c r="IZ23" i="3"/>
  <c r="IY23" i="3"/>
  <c r="IX23" i="3"/>
  <c r="IW23" i="3"/>
  <c r="IV23" i="3"/>
  <c r="IU23" i="3"/>
  <c r="JI22" i="3"/>
  <c r="JH22" i="3"/>
  <c r="JG22" i="3"/>
  <c r="JF22" i="3"/>
  <c r="JE22" i="3"/>
  <c r="JD22" i="3"/>
  <c r="JC22" i="3"/>
  <c r="JB22" i="3"/>
  <c r="JA22" i="3"/>
  <c r="IZ22" i="3"/>
  <c r="IY22" i="3"/>
  <c r="IX22" i="3"/>
  <c r="IW22" i="3"/>
  <c r="IV22" i="3"/>
  <c r="IU22" i="3"/>
  <c r="JI21" i="3"/>
  <c r="JH21" i="3"/>
  <c r="JG21" i="3"/>
  <c r="JF21" i="3"/>
  <c r="JE21" i="3"/>
  <c r="JD21" i="3"/>
  <c r="JC21" i="3"/>
  <c r="JB21" i="3"/>
  <c r="JA21" i="3"/>
  <c r="IZ21" i="3"/>
  <c r="IY21" i="3"/>
  <c r="IX21" i="3"/>
  <c r="IW21" i="3"/>
  <c r="IV21" i="3"/>
  <c r="IU21" i="3"/>
  <c r="JI20" i="3"/>
  <c r="JH20" i="3"/>
  <c r="JG20" i="3"/>
  <c r="JF20" i="3"/>
  <c r="JE20" i="3"/>
  <c r="JD20" i="3"/>
  <c r="JC20" i="3"/>
  <c r="JB20" i="3"/>
  <c r="JA20" i="3"/>
  <c r="IZ20" i="3"/>
  <c r="IY20" i="3"/>
  <c r="IX20" i="3"/>
  <c r="IW20" i="3"/>
  <c r="IV20" i="3"/>
  <c r="IU20" i="3"/>
  <c r="JI19" i="3"/>
  <c r="JH19" i="3"/>
  <c r="JG19" i="3"/>
  <c r="JF19" i="3"/>
  <c r="JE19" i="3"/>
  <c r="JD19" i="3"/>
  <c r="JC19" i="3"/>
  <c r="JB19" i="3"/>
  <c r="JA19" i="3"/>
  <c r="IZ19" i="3"/>
  <c r="IY19" i="3"/>
  <c r="IX19" i="3"/>
  <c r="IW19" i="3"/>
  <c r="IV19" i="3"/>
  <c r="IU19" i="3"/>
  <c r="JI16" i="3"/>
  <c r="JH16" i="3"/>
  <c r="JG16" i="3"/>
  <c r="JF16" i="3"/>
  <c r="JE16" i="3"/>
  <c r="JD16" i="3"/>
  <c r="JC16" i="3"/>
  <c r="JB16" i="3"/>
  <c r="JA16" i="3"/>
  <c r="IZ16" i="3"/>
  <c r="IY16" i="3"/>
  <c r="IX16" i="3"/>
  <c r="IW16" i="3"/>
  <c r="IV16" i="3"/>
  <c r="IU16" i="3"/>
  <c r="JI15" i="3"/>
  <c r="JH15" i="3"/>
  <c r="JG15" i="3"/>
  <c r="JF15" i="3"/>
  <c r="JE15" i="3"/>
  <c r="JD15" i="3"/>
  <c r="JC15" i="3"/>
  <c r="JB15" i="3"/>
  <c r="JA15" i="3"/>
  <c r="IZ15" i="3"/>
  <c r="IY15" i="3"/>
  <c r="IX15" i="3"/>
  <c r="IW15" i="3"/>
  <c r="IV15" i="3"/>
  <c r="IU15" i="3"/>
  <c r="JI14" i="3"/>
  <c r="JH14" i="3"/>
  <c r="JG14" i="3"/>
  <c r="JF14" i="3"/>
  <c r="JE14" i="3"/>
  <c r="JD14" i="3"/>
  <c r="JC14" i="3"/>
  <c r="JB14" i="3"/>
  <c r="JA14" i="3"/>
  <c r="IZ14" i="3"/>
  <c r="IY14" i="3"/>
  <c r="IX14" i="3"/>
  <c r="IW14" i="3"/>
  <c r="IV14" i="3"/>
  <c r="IU14" i="3"/>
  <c r="JI13" i="3"/>
  <c r="JH13" i="3"/>
  <c r="JG13" i="3"/>
  <c r="JF13" i="3"/>
  <c r="JE13" i="3"/>
  <c r="JD13" i="3"/>
  <c r="JC13" i="3"/>
  <c r="JB13" i="3"/>
  <c r="JA13" i="3"/>
  <c r="IZ13" i="3"/>
  <c r="IY13" i="3"/>
  <c r="IX13" i="3"/>
  <c r="IW13" i="3"/>
  <c r="IV13" i="3"/>
  <c r="IU13" i="3"/>
  <c r="JI12" i="3"/>
  <c r="JH12" i="3"/>
  <c r="JG12" i="3"/>
  <c r="JF12" i="3"/>
  <c r="JE12" i="3"/>
  <c r="JD12" i="3"/>
  <c r="JC12" i="3"/>
  <c r="JB12" i="3"/>
  <c r="JA12" i="3"/>
  <c r="IZ12" i="3"/>
  <c r="IY12" i="3"/>
  <c r="IX12" i="3"/>
  <c r="IW12" i="3"/>
  <c r="IV12" i="3"/>
  <c r="IU12" i="3"/>
  <c r="JI11" i="3"/>
  <c r="JH11" i="3"/>
  <c r="JG11" i="3"/>
  <c r="JF11" i="3"/>
  <c r="JE11" i="3"/>
  <c r="JD11" i="3"/>
  <c r="JC11" i="3"/>
  <c r="JB11" i="3"/>
  <c r="JA11" i="3"/>
  <c r="IZ11" i="3"/>
  <c r="IY11" i="3"/>
  <c r="IX11" i="3"/>
  <c r="IW11" i="3"/>
  <c r="IV11" i="3"/>
  <c r="IU11" i="3"/>
  <c r="JI10" i="3"/>
  <c r="JH10" i="3"/>
  <c r="JG10" i="3"/>
  <c r="JF10" i="3"/>
  <c r="JE10" i="3"/>
  <c r="JD10" i="3"/>
  <c r="JC10" i="3"/>
  <c r="JB10" i="3"/>
  <c r="JA10" i="3"/>
  <c r="IZ10" i="3"/>
  <c r="IY10" i="3"/>
  <c r="IX10" i="3"/>
  <c r="IW10" i="3"/>
  <c r="IV10" i="3"/>
  <c r="IU10" i="3"/>
  <c r="JI8" i="3"/>
  <c r="JH8" i="3"/>
  <c r="JG8" i="3"/>
  <c r="JF8" i="3"/>
  <c r="JE8" i="3"/>
  <c r="JD8" i="3"/>
  <c r="JC8" i="3"/>
  <c r="JB8" i="3"/>
  <c r="JA8" i="3"/>
  <c r="IZ8" i="3"/>
  <c r="IY8" i="3"/>
  <c r="IX8" i="3"/>
  <c r="IW8" i="3"/>
  <c r="IV8" i="3"/>
  <c r="IU8" i="3"/>
  <c r="JI7" i="3"/>
  <c r="JH7" i="3"/>
  <c r="JG7" i="3"/>
  <c r="JF7" i="3"/>
  <c r="JE7" i="3"/>
  <c r="JD7" i="3"/>
  <c r="JC7" i="3"/>
  <c r="JB7" i="3"/>
  <c r="JA7" i="3"/>
  <c r="IZ7" i="3"/>
  <c r="IY7" i="3"/>
  <c r="IX7" i="3"/>
  <c r="IW7" i="3"/>
  <c r="IV7" i="3"/>
  <c r="IU7" i="3"/>
  <c r="JI6" i="3"/>
  <c r="JH6" i="3"/>
  <c r="JG6" i="3"/>
  <c r="JF6" i="3"/>
  <c r="JE6" i="3"/>
  <c r="JD6" i="3"/>
  <c r="JC6" i="3"/>
  <c r="JB6" i="3"/>
  <c r="JA6" i="3"/>
  <c r="IZ6" i="3"/>
  <c r="IY6" i="3"/>
  <c r="IX6" i="3"/>
  <c r="IW6" i="3"/>
  <c r="IV6" i="3"/>
  <c r="IU6" i="3"/>
  <c r="JI5" i="3"/>
  <c r="JH5" i="3"/>
  <c r="JG5" i="3"/>
  <c r="JF5" i="3"/>
  <c r="JE5" i="3"/>
  <c r="JD5" i="3"/>
  <c r="JC5" i="3"/>
  <c r="JB5" i="3"/>
  <c r="JA5" i="3"/>
  <c r="IZ5" i="3"/>
  <c r="IY5" i="3"/>
  <c r="IX5" i="3"/>
  <c r="IW5" i="3"/>
  <c r="IV5" i="3"/>
  <c r="IU5" i="3"/>
  <c r="JI4" i="3"/>
  <c r="JH4" i="3"/>
  <c r="JG4" i="3"/>
  <c r="JF4" i="3"/>
  <c r="JE4" i="3"/>
  <c r="JD4" i="3"/>
  <c r="JC4" i="3"/>
  <c r="JB4" i="3"/>
  <c r="JA4" i="3"/>
  <c r="IZ4" i="3"/>
  <c r="IY4" i="3"/>
  <c r="IX4" i="3"/>
  <c r="IW4" i="3"/>
  <c r="IV4" i="3"/>
  <c r="IU4" i="3"/>
  <c r="JI3" i="3"/>
  <c r="JH3" i="3"/>
  <c r="JG3" i="3"/>
  <c r="JF3" i="3"/>
  <c r="JE3" i="3"/>
  <c r="JD3" i="3"/>
  <c r="JC3" i="3"/>
  <c r="JB3" i="3"/>
  <c r="JA3" i="3"/>
  <c r="IZ3" i="3"/>
  <c r="IY3" i="3"/>
  <c r="IX3" i="3"/>
  <c r="IW3" i="3"/>
  <c r="IV3" i="3"/>
  <c r="IU3" i="3"/>
  <c r="IX42" i="1"/>
  <c r="X64" i="2" l="1"/>
  <c r="X63" i="2"/>
  <c r="X62" i="2"/>
  <c r="X55" i="2"/>
  <c r="X54" i="2"/>
  <c r="X51" i="2"/>
  <c r="X50" i="2"/>
  <c r="X49" i="2"/>
  <c r="X48" i="2"/>
  <c r="X47" i="2"/>
  <c r="X42" i="2"/>
  <c r="X41" i="2"/>
  <c r="X40" i="2"/>
  <c r="X39" i="2"/>
  <c r="X38" i="2"/>
  <c r="X36" i="2"/>
  <c r="X35" i="2"/>
  <c r="X34" i="2"/>
  <c r="X33" i="2"/>
  <c r="X30" i="2"/>
  <c r="X29" i="2"/>
  <c r="X28" i="2"/>
  <c r="X27" i="2"/>
  <c r="X26" i="2"/>
  <c r="X23" i="2"/>
  <c r="X22" i="2"/>
  <c r="X21" i="2"/>
  <c r="X20" i="2"/>
  <c r="X19" i="2"/>
  <c r="X16" i="2"/>
  <c r="X15" i="2"/>
  <c r="X14" i="2"/>
  <c r="X13" i="2"/>
  <c r="X12" i="2"/>
  <c r="X11" i="2"/>
  <c r="X10" i="2"/>
  <c r="X8" i="2"/>
  <c r="X7" i="2"/>
  <c r="X6" i="2"/>
  <c r="X5" i="2"/>
  <c r="X4" i="2"/>
  <c r="X3" i="2"/>
  <c r="E17" i="4"/>
  <c r="E16" i="4"/>
  <c r="E15" i="4"/>
  <c r="E14" i="4"/>
  <c r="W64" i="2"/>
  <c r="W63" i="2"/>
  <c r="W62" i="2"/>
  <c r="W60" i="2"/>
  <c r="W59" i="2"/>
  <c r="W58" i="2"/>
  <c r="W55" i="2"/>
  <c r="W54" i="2"/>
  <c r="W51" i="2"/>
  <c r="W50" i="2"/>
  <c r="W49" i="2"/>
  <c r="W48" i="2"/>
  <c r="W47" i="2"/>
  <c r="W44" i="2"/>
  <c r="W42" i="2"/>
  <c r="W41" i="2"/>
  <c r="W40" i="2"/>
  <c r="W39" i="2"/>
  <c r="W38" i="2"/>
  <c r="W36" i="2"/>
  <c r="W35" i="2"/>
  <c r="W34" i="2"/>
  <c r="W33" i="2"/>
  <c r="W30" i="2"/>
  <c r="W29" i="2"/>
  <c r="W28" i="2"/>
  <c r="W27" i="2"/>
  <c r="W26" i="2"/>
  <c r="W23" i="2"/>
  <c r="W22" i="2"/>
  <c r="W21" i="2"/>
  <c r="W20" i="2"/>
  <c r="W19" i="2"/>
  <c r="W16" i="2"/>
  <c r="W15" i="2"/>
  <c r="W14" i="2"/>
  <c r="W13" i="2"/>
  <c r="W12" i="2"/>
  <c r="W11" i="2"/>
  <c r="W10" i="2"/>
  <c r="W8" i="2"/>
  <c r="W7" i="2"/>
  <c r="W6" i="2"/>
  <c r="W5" i="2"/>
  <c r="W4" i="2"/>
  <c r="W3" i="2"/>
  <c r="IK42" i="1"/>
  <c r="IP40" i="1"/>
  <c r="IP42" i="1" s="1"/>
  <c r="IK40" i="1"/>
  <c r="IK15" i="1"/>
  <c r="IK14" i="1"/>
  <c r="IK13" i="1"/>
  <c r="IT30" i="3"/>
  <c r="IS30" i="3"/>
  <c r="IR30" i="3"/>
  <c r="IQ30" i="3"/>
  <c r="IP30" i="3"/>
  <c r="IO30" i="3"/>
  <c r="IN30" i="3"/>
  <c r="IM30" i="3"/>
  <c r="IL30" i="3"/>
  <c r="IK30" i="3"/>
  <c r="IJ30" i="3"/>
  <c r="II30" i="3"/>
  <c r="IT29" i="3"/>
  <c r="IS29" i="3"/>
  <c r="IR29" i="3"/>
  <c r="IQ29" i="3"/>
  <c r="IP29" i="3"/>
  <c r="IO29" i="3"/>
  <c r="IN29" i="3"/>
  <c r="IM29" i="3"/>
  <c r="IL29" i="3"/>
  <c r="IK29" i="3"/>
  <c r="IJ29" i="3"/>
  <c r="II29" i="3"/>
  <c r="IT28" i="3"/>
  <c r="IS28" i="3"/>
  <c r="IR28" i="3"/>
  <c r="IQ28" i="3"/>
  <c r="IP28" i="3"/>
  <c r="IO28" i="3"/>
  <c r="IN28" i="3"/>
  <c r="IM28" i="3"/>
  <c r="IL28" i="3"/>
  <c r="IK28" i="3"/>
  <c r="IJ28" i="3"/>
  <c r="II28" i="3"/>
  <c r="IT27" i="3"/>
  <c r="IS27" i="3"/>
  <c r="IR27" i="3"/>
  <c r="IQ27" i="3"/>
  <c r="IP27" i="3"/>
  <c r="IO27" i="3"/>
  <c r="IN27" i="3"/>
  <c r="IM27" i="3"/>
  <c r="IL27" i="3"/>
  <c r="IK27" i="3"/>
  <c r="IJ27" i="3"/>
  <c r="II27" i="3"/>
  <c r="IT26" i="3"/>
  <c r="IS26" i="3"/>
  <c r="IR26" i="3"/>
  <c r="IQ26" i="3"/>
  <c r="IP26" i="3"/>
  <c r="IO26" i="3"/>
  <c r="IN26" i="3"/>
  <c r="IM26" i="3"/>
  <c r="IL26" i="3"/>
  <c r="IK26" i="3"/>
  <c r="IJ26" i="3"/>
  <c r="II26" i="3"/>
  <c r="IT23" i="3"/>
  <c r="IS23" i="3"/>
  <c r="IR23" i="3"/>
  <c r="IQ23" i="3"/>
  <c r="IP23" i="3"/>
  <c r="IO23" i="3"/>
  <c r="IN23" i="3"/>
  <c r="IM23" i="3"/>
  <c r="IL23" i="3"/>
  <c r="IK23" i="3"/>
  <c r="IJ23" i="3"/>
  <c r="II23" i="3"/>
  <c r="IT22" i="3"/>
  <c r="IS22" i="3"/>
  <c r="IR22" i="3"/>
  <c r="IQ22" i="3"/>
  <c r="IP22" i="3"/>
  <c r="IO22" i="3"/>
  <c r="IN22" i="3"/>
  <c r="IM22" i="3"/>
  <c r="IL22" i="3"/>
  <c r="IK22" i="3"/>
  <c r="IJ22" i="3"/>
  <c r="II22" i="3"/>
  <c r="IT21" i="3"/>
  <c r="IS21" i="3"/>
  <c r="IR21" i="3"/>
  <c r="IQ21" i="3"/>
  <c r="IP21" i="3"/>
  <c r="IO21" i="3"/>
  <c r="IN21" i="3"/>
  <c r="IM21" i="3"/>
  <c r="IL21" i="3"/>
  <c r="IK21" i="3"/>
  <c r="IJ21" i="3"/>
  <c r="II21" i="3"/>
  <c r="IT20" i="3"/>
  <c r="IS20" i="3"/>
  <c r="IR20" i="3"/>
  <c r="IQ20" i="3"/>
  <c r="IP20" i="3"/>
  <c r="IO20" i="3"/>
  <c r="IN20" i="3"/>
  <c r="IM20" i="3"/>
  <c r="IL20" i="3"/>
  <c r="IK20" i="3"/>
  <c r="IJ20" i="3"/>
  <c r="II20" i="3"/>
  <c r="IT19" i="3"/>
  <c r="IS19" i="3"/>
  <c r="IR19" i="3"/>
  <c r="IQ19" i="3"/>
  <c r="IP19" i="3"/>
  <c r="IO19" i="3"/>
  <c r="IN19" i="3"/>
  <c r="IM19" i="3"/>
  <c r="IL19" i="3"/>
  <c r="IK19" i="3"/>
  <c r="IJ19" i="3"/>
  <c r="II19" i="3"/>
  <c r="IT16" i="3"/>
  <c r="IS16" i="3"/>
  <c r="IR16" i="3"/>
  <c r="IQ16" i="3"/>
  <c r="IP16" i="3"/>
  <c r="IO16" i="3"/>
  <c r="IN16" i="3"/>
  <c r="IM16" i="3"/>
  <c r="IL16" i="3"/>
  <c r="IK16" i="3"/>
  <c r="IJ16" i="3"/>
  <c r="II16" i="3"/>
  <c r="IT15" i="3"/>
  <c r="IS15" i="3"/>
  <c r="IR15" i="3"/>
  <c r="IQ15" i="3"/>
  <c r="IP15" i="3"/>
  <c r="IO15" i="3"/>
  <c r="IN15" i="3"/>
  <c r="IM15" i="3"/>
  <c r="IL15" i="3"/>
  <c r="IK15" i="3"/>
  <c r="IJ15" i="3"/>
  <c r="II15" i="3"/>
  <c r="IT14" i="3"/>
  <c r="IS14" i="3"/>
  <c r="IR14" i="3"/>
  <c r="IQ14" i="3"/>
  <c r="IP14" i="3"/>
  <c r="IO14" i="3"/>
  <c r="IN14" i="3"/>
  <c r="IM14" i="3"/>
  <c r="IL14" i="3"/>
  <c r="IK14" i="3"/>
  <c r="IJ14" i="3"/>
  <c r="II14" i="3"/>
  <c r="IT13" i="3"/>
  <c r="IS13" i="3"/>
  <c r="IR13" i="3"/>
  <c r="IQ13" i="3"/>
  <c r="IP13" i="3"/>
  <c r="IO13" i="3"/>
  <c r="IN13" i="3"/>
  <c r="IM13" i="3"/>
  <c r="IL13" i="3"/>
  <c r="IK13" i="3"/>
  <c r="IJ13" i="3"/>
  <c r="II13" i="3"/>
  <c r="IT12" i="3"/>
  <c r="IS12" i="3"/>
  <c r="IR12" i="3"/>
  <c r="IQ12" i="3"/>
  <c r="IP12" i="3"/>
  <c r="IO12" i="3"/>
  <c r="IN12" i="3"/>
  <c r="IM12" i="3"/>
  <c r="IL12" i="3"/>
  <c r="IK12" i="3"/>
  <c r="IJ12" i="3"/>
  <c r="II12" i="3"/>
  <c r="IT11" i="3"/>
  <c r="IS11" i="3"/>
  <c r="IR11" i="3"/>
  <c r="IQ11" i="3"/>
  <c r="IP11" i="3"/>
  <c r="IO11" i="3"/>
  <c r="IN11" i="3"/>
  <c r="IM11" i="3"/>
  <c r="IL11" i="3"/>
  <c r="IK11" i="3"/>
  <c r="IJ11" i="3"/>
  <c r="II11" i="3"/>
  <c r="IT10" i="3"/>
  <c r="IS10" i="3"/>
  <c r="IR10" i="3"/>
  <c r="IQ10" i="3"/>
  <c r="IP10" i="3"/>
  <c r="IO10" i="3"/>
  <c r="IN10" i="3"/>
  <c r="IM10" i="3"/>
  <c r="IL10" i="3"/>
  <c r="IK10" i="3"/>
  <c r="IJ10" i="3"/>
  <c r="II10" i="3"/>
  <c r="IT8" i="3"/>
  <c r="IS8" i="3"/>
  <c r="IR8" i="3"/>
  <c r="IQ8" i="3"/>
  <c r="IP8" i="3"/>
  <c r="IO8" i="3"/>
  <c r="IN8" i="3"/>
  <c r="IM8" i="3"/>
  <c r="IL8" i="3"/>
  <c r="IK8" i="3"/>
  <c r="IJ8" i="3"/>
  <c r="II8" i="3"/>
  <c r="IT7" i="3"/>
  <c r="IS7" i="3"/>
  <c r="IR7" i="3"/>
  <c r="IQ7" i="3"/>
  <c r="IP7" i="3"/>
  <c r="IO7" i="3"/>
  <c r="IN7" i="3"/>
  <c r="IM7" i="3"/>
  <c r="IL7" i="3"/>
  <c r="IK7" i="3"/>
  <c r="IJ7" i="3"/>
  <c r="II7" i="3"/>
  <c r="IT6" i="3"/>
  <c r="IS6" i="3"/>
  <c r="IR6" i="3"/>
  <c r="IQ6" i="3"/>
  <c r="IP6" i="3"/>
  <c r="IO6" i="3"/>
  <c r="IN6" i="3"/>
  <c r="IM6" i="3"/>
  <c r="IL6" i="3"/>
  <c r="IK6" i="3"/>
  <c r="IJ6" i="3"/>
  <c r="II6" i="3"/>
  <c r="IT5" i="3"/>
  <c r="IS5" i="3"/>
  <c r="IR5" i="3"/>
  <c r="IQ5" i="3"/>
  <c r="IP5" i="3"/>
  <c r="IO5" i="3"/>
  <c r="IN5" i="3"/>
  <c r="IM5" i="3"/>
  <c r="IL5" i="3"/>
  <c r="IK5" i="3"/>
  <c r="IJ5" i="3"/>
  <c r="II5" i="3"/>
  <c r="IT4" i="3"/>
  <c r="IS4" i="3"/>
  <c r="IR4" i="3"/>
  <c r="IQ4" i="3"/>
  <c r="IP4" i="3"/>
  <c r="IO4" i="3"/>
  <c r="IN4" i="3"/>
  <c r="IM4" i="3"/>
  <c r="IL4" i="3"/>
  <c r="IK4" i="3"/>
  <c r="IJ4" i="3"/>
  <c r="II4" i="3"/>
  <c r="IT3" i="3"/>
  <c r="IS3" i="3"/>
  <c r="IR3" i="3"/>
  <c r="IQ3" i="3"/>
  <c r="IP3" i="3"/>
  <c r="IO3" i="3"/>
  <c r="IN3" i="3"/>
  <c r="IM3" i="3"/>
  <c r="IL3" i="3"/>
  <c r="IK3" i="3"/>
  <c r="IJ3" i="3"/>
  <c r="II3" i="3"/>
  <c r="V64" i="2"/>
  <c r="U64" i="2"/>
  <c r="T64" i="2"/>
  <c r="S64" i="2"/>
  <c r="R64" i="2"/>
  <c r="Q64" i="2"/>
  <c r="P64" i="2"/>
  <c r="V63" i="2"/>
  <c r="U63" i="2"/>
  <c r="T63" i="2"/>
  <c r="S63" i="2"/>
  <c r="R63" i="2"/>
  <c r="Q63" i="2"/>
  <c r="P63" i="2"/>
  <c r="V62" i="2"/>
  <c r="U62" i="2"/>
  <c r="T62" i="2"/>
  <c r="S62" i="2"/>
  <c r="R62" i="2"/>
  <c r="Q62" i="2"/>
  <c r="P62" i="2"/>
  <c r="V60" i="2"/>
  <c r="U60" i="2"/>
  <c r="T60" i="2"/>
  <c r="S60" i="2"/>
  <c r="R60" i="2"/>
  <c r="Q60" i="2"/>
  <c r="P60" i="2"/>
  <c r="V59" i="2"/>
  <c r="U59" i="2"/>
  <c r="T59" i="2"/>
  <c r="S59" i="2"/>
  <c r="R59" i="2"/>
  <c r="Q59" i="2"/>
  <c r="P59" i="2"/>
  <c r="V58" i="2"/>
  <c r="U58" i="2"/>
  <c r="T58" i="2"/>
  <c r="S58" i="2"/>
  <c r="R58" i="2"/>
  <c r="Q58" i="2"/>
  <c r="P58" i="2"/>
  <c r="V55" i="2"/>
  <c r="U55" i="2"/>
  <c r="T55" i="2"/>
  <c r="S55" i="2"/>
  <c r="R55" i="2"/>
  <c r="Q55" i="2"/>
  <c r="P55" i="2"/>
  <c r="V54" i="2"/>
  <c r="U54" i="2"/>
  <c r="T54" i="2"/>
  <c r="S54" i="2"/>
  <c r="R54" i="2"/>
  <c r="Q54" i="2"/>
  <c r="P54" i="2"/>
  <c r="V51" i="2"/>
  <c r="U51" i="2"/>
  <c r="T51" i="2"/>
  <c r="S51" i="2"/>
  <c r="R51" i="2"/>
  <c r="Q51" i="2"/>
  <c r="P51" i="2"/>
  <c r="V50" i="2"/>
  <c r="U50" i="2"/>
  <c r="T50" i="2"/>
  <c r="S50" i="2"/>
  <c r="R50" i="2"/>
  <c r="Q50" i="2"/>
  <c r="P50" i="2"/>
  <c r="V49" i="2"/>
  <c r="U49" i="2"/>
  <c r="T49" i="2"/>
  <c r="S49" i="2"/>
  <c r="R49" i="2"/>
  <c r="Q49" i="2"/>
  <c r="P49" i="2"/>
  <c r="V48" i="2"/>
  <c r="U48" i="2"/>
  <c r="T48" i="2"/>
  <c r="S48" i="2"/>
  <c r="R48" i="2"/>
  <c r="Q48" i="2"/>
  <c r="P48" i="2"/>
  <c r="V47" i="2"/>
  <c r="U47" i="2"/>
  <c r="T47" i="2"/>
  <c r="S47" i="2"/>
  <c r="R47" i="2"/>
  <c r="Q47" i="2"/>
  <c r="P47" i="2"/>
  <c r="V44" i="2"/>
  <c r="U44" i="2"/>
  <c r="T44" i="2"/>
  <c r="S44" i="2"/>
  <c r="R44" i="2"/>
  <c r="Q44" i="2"/>
  <c r="P44" i="2"/>
  <c r="V42" i="2"/>
  <c r="U42" i="2"/>
  <c r="T42" i="2"/>
  <c r="S42" i="2"/>
  <c r="R42" i="2"/>
  <c r="Q42" i="2"/>
  <c r="P42" i="2"/>
  <c r="V41" i="2"/>
  <c r="U41" i="2"/>
  <c r="T41" i="2"/>
  <c r="S41" i="2"/>
  <c r="R41" i="2"/>
  <c r="Q41" i="2"/>
  <c r="P41" i="2"/>
  <c r="V40" i="2"/>
  <c r="U40" i="2"/>
  <c r="T40" i="2"/>
  <c r="S40" i="2"/>
  <c r="R40" i="2"/>
  <c r="Q40" i="2"/>
  <c r="P40" i="2"/>
  <c r="V39" i="2"/>
  <c r="U39" i="2"/>
  <c r="T39" i="2"/>
  <c r="S39" i="2"/>
  <c r="R39" i="2"/>
  <c r="Q39" i="2"/>
  <c r="P39" i="2"/>
  <c r="V38" i="2"/>
  <c r="U38" i="2"/>
  <c r="T38" i="2"/>
  <c r="S38" i="2"/>
  <c r="R38" i="2"/>
  <c r="Q38" i="2"/>
  <c r="P38" i="2"/>
  <c r="V36" i="2"/>
  <c r="U36" i="2"/>
  <c r="T36" i="2"/>
  <c r="S36" i="2"/>
  <c r="R36" i="2"/>
  <c r="Q36" i="2"/>
  <c r="P36" i="2"/>
  <c r="V35" i="2"/>
  <c r="U35" i="2"/>
  <c r="T35" i="2"/>
  <c r="S35" i="2"/>
  <c r="R35" i="2"/>
  <c r="Q35" i="2"/>
  <c r="P35" i="2"/>
  <c r="V34" i="2"/>
  <c r="U34" i="2"/>
  <c r="T34" i="2"/>
  <c r="S34" i="2"/>
  <c r="R34" i="2"/>
  <c r="Q34" i="2"/>
  <c r="P34" i="2"/>
  <c r="V33" i="2"/>
  <c r="U33" i="2"/>
  <c r="T33" i="2"/>
  <c r="S33" i="2"/>
  <c r="R33" i="2"/>
  <c r="Q33" i="2"/>
  <c r="P33" i="2"/>
  <c r="V30" i="2"/>
  <c r="U30" i="2"/>
  <c r="T30" i="2"/>
  <c r="S30" i="2"/>
  <c r="R30" i="2"/>
  <c r="Q30" i="2"/>
  <c r="P30" i="2"/>
  <c r="V29" i="2"/>
  <c r="U29" i="2"/>
  <c r="T29" i="2"/>
  <c r="S29" i="2"/>
  <c r="R29" i="2"/>
  <c r="Q29" i="2"/>
  <c r="P29" i="2"/>
  <c r="V28" i="2"/>
  <c r="U28" i="2"/>
  <c r="T28" i="2"/>
  <c r="S28" i="2"/>
  <c r="R28" i="2"/>
  <c r="Q28" i="2"/>
  <c r="P28" i="2"/>
  <c r="V27" i="2"/>
  <c r="U27" i="2"/>
  <c r="T27" i="2"/>
  <c r="S27" i="2"/>
  <c r="R27" i="2"/>
  <c r="Q27" i="2"/>
  <c r="P27" i="2"/>
  <c r="V26" i="2"/>
  <c r="U26" i="2"/>
  <c r="T26" i="2"/>
  <c r="S26" i="2"/>
  <c r="R26" i="2"/>
  <c r="Q26" i="2"/>
  <c r="P26" i="2"/>
  <c r="V23" i="2"/>
  <c r="U23" i="2"/>
  <c r="T23" i="2"/>
  <c r="S23" i="2"/>
  <c r="R23" i="2"/>
  <c r="Q23" i="2"/>
  <c r="P23" i="2"/>
  <c r="V22" i="2"/>
  <c r="U22" i="2"/>
  <c r="T22" i="2"/>
  <c r="S22" i="2"/>
  <c r="R22" i="2"/>
  <c r="Q22" i="2"/>
  <c r="P22" i="2"/>
  <c r="V21" i="2"/>
  <c r="U21" i="2"/>
  <c r="T21" i="2"/>
  <c r="S21" i="2"/>
  <c r="R21" i="2"/>
  <c r="Q21" i="2"/>
  <c r="P21" i="2"/>
  <c r="V20" i="2"/>
  <c r="U20" i="2"/>
  <c r="T20" i="2"/>
  <c r="S20" i="2"/>
  <c r="R20" i="2"/>
  <c r="Q20" i="2"/>
  <c r="P20" i="2"/>
  <c r="V19" i="2"/>
  <c r="U19" i="2"/>
  <c r="T19" i="2"/>
  <c r="S19" i="2"/>
  <c r="R19" i="2"/>
  <c r="Q19" i="2"/>
  <c r="P19" i="2"/>
  <c r="V16" i="2"/>
  <c r="U16" i="2"/>
  <c r="T16" i="2"/>
  <c r="S16" i="2"/>
  <c r="R16" i="2"/>
  <c r="Q16" i="2"/>
  <c r="P16" i="2"/>
  <c r="V15" i="2"/>
  <c r="U15" i="2"/>
  <c r="T15" i="2"/>
  <c r="S15" i="2"/>
  <c r="R15" i="2"/>
  <c r="Q15" i="2"/>
  <c r="P15" i="2"/>
  <c r="V14" i="2"/>
  <c r="U14" i="2"/>
  <c r="T14" i="2"/>
  <c r="S14" i="2"/>
  <c r="R14" i="2"/>
  <c r="Q14" i="2"/>
  <c r="P14" i="2"/>
  <c r="V13" i="2"/>
  <c r="U13" i="2"/>
  <c r="T13" i="2"/>
  <c r="S13" i="2"/>
  <c r="R13" i="2"/>
  <c r="Q13" i="2"/>
  <c r="P13" i="2"/>
  <c r="V12" i="2"/>
  <c r="U12" i="2"/>
  <c r="T12" i="2"/>
  <c r="S12" i="2"/>
  <c r="R12" i="2"/>
  <c r="Q12" i="2"/>
  <c r="P12" i="2"/>
  <c r="V11" i="2"/>
  <c r="U11" i="2"/>
  <c r="T11" i="2"/>
  <c r="S11" i="2"/>
  <c r="R11" i="2"/>
  <c r="Q11" i="2"/>
  <c r="P11" i="2"/>
  <c r="V10" i="2"/>
  <c r="U10" i="2"/>
  <c r="T10" i="2"/>
  <c r="S10" i="2"/>
  <c r="R10" i="2"/>
  <c r="Q10" i="2"/>
  <c r="P10" i="2"/>
  <c r="V8" i="2"/>
  <c r="U8" i="2"/>
  <c r="T8" i="2"/>
  <c r="S8" i="2"/>
  <c r="R8" i="2"/>
  <c r="Q8" i="2"/>
  <c r="P8" i="2"/>
  <c r="V7" i="2"/>
  <c r="U7" i="2"/>
  <c r="T7" i="2"/>
  <c r="S7" i="2"/>
  <c r="R7" i="2"/>
  <c r="Q7" i="2"/>
  <c r="P7" i="2"/>
  <c r="V6" i="2"/>
  <c r="U6" i="2"/>
  <c r="T6" i="2"/>
  <c r="S6" i="2"/>
  <c r="R6" i="2"/>
  <c r="Q6" i="2"/>
  <c r="P6" i="2"/>
  <c r="V5" i="2"/>
  <c r="U5" i="2"/>
  <c r="T5" i="2"/>
  <c r="S5" i="2"/>
  <c r="R5" i="2"/>
  <c r="Q5" i="2"/>
  <c r="P5" i="2"/>
  <c r="V4" i="2"/>
  <c r="U4" i="2"/>
  <c r="T4" i="2"/>
  <c r="S4" i="2"/>
  <c r="R4" i="2"/>
  <c r="Q4" i="2"/>
  <c r="P4" i="2"/>
  <c r="V3" i="2"/>
  <c r="U3" i="2"/>
  <c r="T3" i="2"/>
  <c r="S3" i="2"/>
  <c r="R3" i="2"/>
  <c r="Q3" i="2"/>
  <c r="P3" i="2"/>
  <c r="IH30" i="3"/>
  <c r="IG30" i="3"/>
  <c r="IF30" i="3"/>
  <c r="IE30" i="3"/>
  <c r="ID30" i="3"/>
  <c r="IC30" i="3"/>
  <c r="IB30" i="3"/>
  <c r="IA30" i="3"/>
  <c r="HZ30" i="3"/>
  <c r="HY30" i="3"/>
  <c r="HX30" i="3"/>
  <c r="HW30" i="3"/>
  <c r="IH29" i="3"/>
  <c r="IG29" i="3"/>
  <c r="IF29" i="3"/>
  <c r="IE29" i="3"/>
  <c r="ID29" i="3"/>
  <c r="IC29" i="3"/>
  <c r="IB29" i="3"/>
  <c r="IA29" i="3"/>
  <c r="HZ29" i="3"/>
  <c r="HY29" i="3"/>
  <c r="HX29" i="3"/>
  <c r="HW29" i="3"/>
  <c r="IH28" i="3"/>
  <c r="IG28" i="3"/>
  <c r="IF28" i="3"/>
  <c r="IE28" i="3"/>
  <c r="ID28" i="3"/>
  <c r="IC28" i="3"/>
  <c r="IB28" i="3"/>
  <c r="IA28" i="3"/>
  <c r="HZ28" i="3"/>
  <c r="HY28" i="3"/>
  <c r="HX28" i="3"/>
  <c r="HW28" i="3"/>
  <c r="IH27" i="3"/>
  <c r="IG27" i="3"/>
  <c r="IF27" i="3"/>
  <c r="IE27" i="3"/>
  <c r="ID27" i="3"/>
  <c r="IC27" i="3"/>
  <c r="IB27" i="3"/>
  <c r="IA27" i="3"/>
  <c r="HZ27" i="3"/>
  <c r="HY27" i="3"/>
  <c r="HX27" i="3"/>
  <c r="HW27" i="3"/>
  <c r="IH26" i="3"/>
  <c r="IG26" i="3"/>
  <c r="IF26" i="3"/>
  <c r="IE26" i="3"/>
  <c r="ID26" i="3"/>
  <c r="IC26" i="3"/>
  <c r="IB26" i="3"/>
  <c r="IA26" i="3"/>
  <c r="HZ26" i="3"/>
  <c r="HY26" i="3"/>
  <c r="HX26" i="3"/>
  <c r="HW26" i="3"/>
  <c r="IH23" i="3"/>
  <c r="IG23" i="3"/>
  <c r="IF23" i="3"/>
  <c r="IE23" i="3"/>
  <c r="ID23" i="3"/>
  <c r="IC23" i="3"/>
  <c r="IB23" i="3"/>
  <c r="IA23" i="3"/>
  <c r="HZ23" i="3"/>
  <c r="HY23" i="3"/>
  <c r="HX23" i="3"/>
  <c r="HW23" i="3"/>
  <c r="IH22" i="3"/>
  <c r="IG22" i="3"/>
  <c r="IF22" i="3"/>
  <c r="IE22" i="3"/>
  <c r="ID22" i="3"/>
  <c r="IC22" i="3"/>
  <c r="IB22" i="3"/>
  <c r="IA22" i="3"/>
  <c r="HZ22" i="3"/>
  <c r="HY22" i="3"/>
  <c r="HX22" i="3"/>
  <c r="HW22" i="3"/>
  <c r="IH21" i="3"/>
  <c r="IG21" i="3"/>
  <c r="IF21" i="3"/>
  <c r="IE21" i="3"/>
  <c r="ID21" i="3"/>
  <c r="IC21" i="3"/>
  <c r="IB21" i="3"/>
  <c r="IA21" i="3"/>
  <c r="HZ21" i="3"/>
  <c r="HY21" i="3"/>
  <c r="HX21" i="3"/>
  <c r="HW21" i="3"/>
  <c r="IH20" i="3"/>
  <c r="IG20" i="3"/>
  <c r="IF20" i="3"/>
  <c r="IE20" i="3"/>
  <c r="ID20" i="3"/>
  <c r="IC20" i="3"/>
  <c r="IB20" i="3"/>
  <c r="IA20" i="3"/>
  <c r="HZ20" i="3"/>
  <c r="HY20" i="3"/>
  <c r="HX20" i="3"/>
  <c r="HW20" i="3"/>
  <c r="IH19" i="3"/>
  <c r="IG19" i="3"/>
  <c r="IF19" i="3"/>
  <c r="IE19" i="3"/>
  <c r="ID19" i="3"/>
  <c r="IC19" i="3"/>
  <c r="IB19" i="3"/>
  <c r="IA19" i="3"/>
  <c r="HZ19" i="3"/>
  <c r="HY19" i="3"/>
  <c r="HX19" i="3"/>
  <c r="HW19" i="3"/>
  <c r="IH16" i="3"/>
  <c r="IG16" i="3"/>
  <c r="IF16" i="3"/>
  <c r="IE16" i="3"/>
  <c r="ID16" i="3"/>
  <c r="IC16" i="3"/>
  <c r="IB16" i="3"/>
  <c r="IA16" i="3"/>
  <c r="HZ16" i="3"/>
  <c r="HY16" i="3"/>
  <c r="HX16" i="3"/>
  <c r="HW16" i="3"/>
  <c r="IH15" i="3"/>
  <c r="IG15" i="3"/>
  <c r="IF15" i="3"/>
  <c r="IE15" i="3"/>
  <c r="ID15" i="3"/>
  <c r="IC15" i="3"/>
  <c r="IB15" i="3"/>
  <c r="IA15" i="3"/>
  <c r="HZ15" i="3"/>
  <c r="HY15" i="3"/>
  <c r="HX15" i="3"/>
  <c r="HW15" i="3"/>
  <c r="IH14" i="3"/>
  <c r="IG14" i="3"/>
  <c r="IF14" i="3"/>
  <c r="IE14" i="3"/>
  <c r="ID14" i="3"/>
  <c r="IC14" i="3"/>
  <c r="IB14" i="3"/>
  <c r="IA14" i="3"/>
  <c r="HZ14" i="3"/>
  <c r="HY14" i="3"/>
  <c r="HX14" i="3"/>
  <c r="HW14" i="3"/>
  <c r="IH13" i="3"/>
  <c r="IG13" i="3"/>
  <c r="IF13" i="3"/>
  <c r="IE13" i="3"/>
  <c r="ID13" i="3"/>
  <c r="IC13" i="3"/>
  <c r="IB13" i="3"/>
  <c r="IA13" i="3"/>
  <c r="HZ13" i="3"/>
  <c r="HY13" i="3"/>
  <c r="HX13" i="3"/>
  <c r="HW13" i="3"/>
  <c r="IH12" i="3"/>
  <c r="IG12" i="3"/>
  <c r="IF12" i="3"/>
  <c r="IE12" i="3"/>
  <c r="ID12" i="3"/>
  <c r="IC12" i="3"/>
  <c r="IB12" i="3"/>
  <c r="IA12" i="3"/>
  <c r="HZ12" i="3"/>
  <c r="HY12" i="3"/>
  <c r="HX12" i="3"/>
  <c r="HW12" i="3"/>
  <c r="IH11" i="3"/>
  <c r="IG11" i="3"/>
  <c r="IF11" i="3"/>
  <c r="IE11" i="3"/>
  <c r="ID11" i="3"/>
  <c r="IC11" i="3"/>
  <c r="IB11" i="3"/>
  <c r="IA11" i="3"/>
  <c r="HZ11" i="3"/>
  <c r="HY11" i="3"/>
  <c r="HX11" i="3"/>
  <c r="HW11" i="3"/>
  <c r="IH10" i="3"/>
  <c r="IG10" i="3"/>
  <c r="IF10" i="3"/>
  <c r="IE10" i="3"/>
  <c r="ID10" i="3"/>
  <c r="IC10" i="3"/>
  <c r="IB10" i="3"/>
  <c r="IA10" i="3"/>
  <c r="HZ10" i="3"/>
  <c r="HY10" i="3"/>
  <c r="HX10" i="3"/>
  <c r="HW10" i="3"/>
  <c r="IH8" i="3"/>
  <c r="IG8" i="3"/>
  <c r="IF8" i="3"/>
  <c r="IE8" i="3"/>
  <c r="ID8" i="3"/>
  <c r="IC8" i="3"/>
  <c r="IB8" i="3"/>
  <c r="IA8" i="3"/>
  <c r="HZ8" i="3"/>
  <c r="HY8" i="3"/>
  <c r="HX8" i="3"/>
  <c r="HW8" i="3"/>
  <c r="IH7" i="3"/>
  <c r="IG7" i="3"/>
  <c r="IF7" i="3"/>
  <c r="IE7" i="3"/>
  <c r="ID7" i="3"/>
  <c r="IC7" i="3"/>
  <c r="IB7" i="3"/>
  <c r="IA7" i="3"/>
  <c r="HZ7" i="3"/>
  <c r="HY7" i="3"/>
  <c r="HX7" i="3"/>
  <c r="HW7" i="3"/>
  <c r="IH6" i="3"/>
  <c r="IG6" i="3"/>
  <c r="IF6" i="3"/>
  <c r="IE6" i="3"/>
  <c r="ID6" i="3"/>
  <c r="IC6" i="3"/>
  <c r="IB6" i="3"/>
  <c r="IA6" i="3"/>
  <c r="HZ6" i="3"/>
  <c r="HY6" i="3"/>
  <c r="HX6" i="3"/>
  <c r="HW6" i="3"/>
  <c r="IH5" i="3"/>
  <c r="IG5" i="3"/>
  <c r="IF5" i="3"/>
  <c r="IE5" i="3"/>
  <c r="ID5" i="3"/>
  <c r="IC5" i="3"/>
  <c r="IB5" i="3"/>
  <c r="IA5" i="3"/>
  <c r="HZ5" i="3"/>
  <c r="HY5" i="3"/>
  <c r="HX5" i="3"/>
  <c r="HW5" i="3"/>
  <c r="IH4" i="3"/>
  <c r="IG4" i="3"/>
  <c r="IF4" i="3"/>
  <c r="IE4" i="3"/>
  <c r="ID4" i="3"/>
  <c r="IC4" i="3"/>
  <c r="IB4" i="3"/>
  <c r="IA4" i="3"/>
  <c r="HZ4" i="3"/>
  <c r="HY4" i="3"/>
  <c r="HX4" i="3"/>
  <c r="HW4" i="3"/>
  <c r="IH3" i="3"/>
  <c r="IG3" i="3"/>
  <c r="IF3" i="3"/>
  <c r="IE3" i="3"/>
  <c r="ID3" i="3"/>
  <c r="IC3" i="3"/>
  <c r="IB3" i="3"/>
  <c r="IA3" i="3"/>
  <c r="HZ3" i="3"/>
  <c r="HY3" i="3"/>
  <c r="HX3" i="3"/>
  <c r="HW3" i="3"/>
  <c r="HZ42" i="1"/>
  <c r="HZ8" i="1"/>
  <c r="HZ7" i="1"/>
  <c r="HV3" i="3" l="1"/>
  <c r="HV4" i="3"/>
  <c r="HV5" i="3"/>
  <c r="HV6" i="3"/>
  <c r="HV7" i="3"/>
  <c r="HV8" i="3"/>
  <c r="HV10" i="3"/>
  <c r="HV11" i="3"/>
  <c r="HV12" i="3"/>
  <c r="HV13" i="3"/>
  <c r="HV14" i="3"/>
  <c r="HV15" i="3"/>
  <c r="HV16" i="3"/>
  <c r="HV19" i="3"/>
  <c r="HV20" i="3"/>
  <c r="HV21" i="3"/>
  <c r="HV22" i="3"/>
  <c r="HV23" i="3"/>
  <c r="HV26" i="3"/>
  <c r="HV27" i="3"/>
  <c r="HV28" i="3"/>
  <c r="HV29" i="3"/>
  <c r="HV30" i="3"/>
  <c r="HT3" i="3" l="1"/>
  <c r="HU3" i="3"/>
  <c r="HT4" i="3"/>
  <c r="HU4" i="3"/>
  <c r="HT5" i="3"/>
  <c r="HU5" i="3"/>
  <c r="HT6" i="3"/>
  <c r="HU6" i="3"/>
  <c r="HT7" i="3"/>
  <c r="HU7" i="3"/>
  <c r="HT8" i="3"/>
  <c r="HU8" i="3"/>
  <c r="HT10" i="3"/>
  <c r="HU10" i="3"/>
  <c r="HT11" i="3"/>
  <c r="HU11" i="3"/>
  <c r="HT12" i="3"/>
  <c r="HU12" i="3"/>
  <c r="HT13" i="3"/>
  <c r="HU13" i="3"/>
  <c r="HT14" i="3"/>
  <c r="HU14" i="3"/>
  <c r="HT15" i="3"/>
  <c r="HU15" i="3"/>
  <c r="HT16" i="3"/>
  <c r="HU16" i="3"/>
  <c r="HT19" i="3"/>
  <c r="HU19" i="3"/>
  <c r="HT20" i="3"/>
  <c r="HU20" i="3"/>
  <c r="HT21" i="3"/>
  <c r="HU21" i="3"/>
  <c r="HT22" i="3"/>
  <c r="HU22" i="3"/>
  <c r="HT23" i="3"/>
  <c r="HU23" i="3"/>
  <c r="HT26" i="3"/>
  <c r="HU26" i="3"/>
  <c r="HT27" i="3"/>
  <c r="HU27" i="3"/>
  <c r="HT28" i="3"/>
  <c r="HU28" i="3"/>
  <c r="HT29" i="3"/>
  <c r="HU29" i="3"/>
  <c r="HT30" i="3"/>
  <c r="HU30" i="3"/>
  <c r="HS3" i="3" l="1"/>
  <c r="HS4" i="3"/>
  <c r="HS5" i="3"/>
  <c r="HS6" i="3"/>
  <c r="HS7" i="3"/>
  <c r="HS8" i="3"/>
  <c r="HS10" i="3"/>
  <c r="HS11" i="3"/>
  <c r="HS12" i="3"/>
  <c r="HS13" i="3"/>
  <c r="HS14" i="3"/>
  <c r="HS15" i="3"/>
  <c r="HS16" i="3"/>
  <c r="HS19" i="3"/>
  <c r="HS20" i="3"/>
  <c r="HS21" i="3"/>
  <c r="HS22" i="3"/>
  <c r="HS23" i="3"/>
  <c r="HS26" i="3"/>
  <c r="HS27" i="3"/>
  <c r="HS28" i="3"/>
  <c r="HS29" i="3"/>
  <c r="HS30" i="3"/>
  <c r="HR3" i="3" l="1"/>
  <c r="HR4" i="3"/>
  <c r="HR5" i="3"/>
  <c r="HR6" i="3"/>
  <c r="HR7" i="3"/>
  <c r="HR8" i="3"/>
  <c r="HR10" i="3"/>
  <c r="HR11" i="3"/>
  <c r="HR12" i="3"/>
  <c r="HR13" i="3"/>
  <c r="HR14" i="3"/>
  <c r="HR15" i="3"/>
  <c r="HR16" i="3"/>
  <c r="HR19" i="3"/>
  <c r="HR20" i="3"/>
  <c r="HR21" i="3"/>
  <c r="HR22" i="3"/>
  <c r="HR23" i="3"/>
  <c r="HR26" i="3"/>
  <c r="HR27" i="3"/>
  <c r="HR28" i="3"/>
  <c r="HR29" i="3"/>
  <c r="HR30" i="3"/>
  <c r="HQ3" i="3" l="1"/>
  <c r="HQ4" i="3"/>
  <c r="HQ5" i="3"/>
  <c r="HQ6" i="3"/>
  <c r="HQ7" i="3"/>
  <c r="HQ8" i="3"/>
  <c r="HQ10" i="3"/>
  <c r="HQ11" i="3"/>
  <c r="HQ12" i="3"/>
  <c r="HQ13" i="3"/>
  <c r="HQ14" i="3"/>
  <c r="HQ15" i="3"/>
  <c r="HQ16" i="3"/>
  <c r="HQ19" i="3"/>
  <c r="HQ20" i="3"/>
  <c r="HQ21" i="3"/>
  <c r="HQ22" i="3"/>
  <c r="HQ23" i="3"/>
  <c r="HQ26" i="3"/>
  <c r="HQ27" i="3"/>
  <c r="HQ28" i="3"/>
  <c r="HQ29" i="3"/>
  <c r="HQ30" i="3"/>
  <c r="HP3" i="3" l="1"/>
  <c r="HP4" i="3"/>
  <c r="HP5" i="3"/>
  <c r="HP6" i="3"/>
  <c r="HP7" i="3"/>
  <c r="HP8" i="3"/>
  <c r="HP10" i="3"/>
  <c r="HP11" i="3"/>
  <c r="HP12" i="3"/>
  <c r="HP13" i="3"/>
  <c r="HP14" i="3"/>
  <c r="HP15" i="3"/>
  <c r="HP16" i="3"/>
  <c r="HP19" i="3"/>
  <c r="HP20" i="3"/>
  <c r="HP21" i="3"/>
  <c r="HP22" i="3"/>
  <c r="HP23" i="3"/>
  <c r="HP26" i="3"/>
  <c r="HP27" i="3"/>
  <c r="HP28" i="3"/>
  <c r="HP29" i="3"/>
  <c r="HP30" i="3"/>
  <c r="HG3" i="3"/>
  <c r="GN3" i="3" l="1"/>
  <c r="GO3" i="3"/>
  <c r="GP3" i="3"/>
  <c r="GQ3" i="3"/>
  <c r="GR3" i="3"/>
  <c r="GS3" i="3"/>
  <c r="GT3" i="3"/>
  <c r="GU3" i="3"/>
  <c r="GV3" i="3"/>
  <c r="GW3" i="3"/>
  <c r="GX3" i="3"/>
  <c r="GY3" i="3"/>
  <c r="GZ3" i="3"/>
  <c r="HA3" i="3"/>
  <c r="HB3" i="3"/>
  <c r="HC3" i="3"/>
  <c r="HD3" i="3"/>
  <c r="HE3" i="3"/>
  <c r="HF3" i="3"/>
  <c r="HH3" i="3"/>
  <c r="HI3" i="3"/>
  <c r="HJ3" i="3"/>
  <c r="HK3" i="3"/>
  <c r="HL3" i="3"/>
  <c r="HM3" i="3"/>
  <c r="HN3" i="3"/>
  <c r="HO3" i="3"/>
  <c r="GN4" i="3"/>
  <c r="GO4" i="3"/>
  <c r="GP4" i="3"/>
  <c r="GQ4" i="3"/>
  <c r="GR4" i="3"/>
  <c r="GS4" i="3"/>
  <c r="GT4" i="3"/>
  <c r="GU4" i="3"/>
  <c r="GV4" i="3"/>
  <c r="GW4" i="3"/>
  <c r="GX4" i="3"/>
  <c r="GY4" i="3"/>
  <c r="GZ4" i="3"/>
  <c r="HA4" i="3"/>
  <c r="HB4" i="3"/>
  <c r="HC4" i="3"/>
  <c r="HD4" i="3"/>
  <c r="HE4" i="3"/>
  <c r="HF4" i="3"/>
  <c r="HG4" i="3"/>
  <c r="HH4" i="3"/>
  <c r="HI4" i="3"/>
  <c r="HJ4" i="3"/>
  <c r="HK4" i="3"/>
  <c r="HL4" i="3"/>
  <c r="HM4" i="3"/>
  <c r="HN4" i="3"/>
  <c r="HO4" i="3"/>
  <c r="GN5" i="3"/>
  <c r="GO5" i="3"/>
  <c r="GP5" i="3"/>
  <c r="GQ5" i="3"/>
  <c r="GR5" i="3"/>
  <c r="GS5" i="3"/>
  <c r="GT5" i="3"/>
  <c r="GU5" i="3"/>
  <c r="GV5" i="3"/>
  <c r="GW5" i="3"/>
  <c r="GX5" i="3"/>
  <c r="GY5" i="3"/>
  <c r="GZ5" i="3"/>
  <c r="HA5" i="3"/>
  <c r="HB5" i="3"/>
  <c r="HC5" i="3"/>
  <c r="HD5" i="3"/>
  <c r="HE5" i="3"/>
  <c r="HF5" i="3"/>
  <c r="HG5" i="3"/>
  <c r="HH5" i="3"/>
  <c r="HI5" i="3"/>
  <c r="HJ5" i="3"/>
  <c r="HK5" i="3"/>
  <c r="HL5" i="3"/>
  <c r="HM5" i="3"/>
  <c r="HN5" i="3"/>
  <c r="HO5" i="3"/>
  <c r="GN6" i="3"/>
  <c r="GO6" i="3"/>
  <c r="GP6" i="3"/>
  <c r="GQ6" i="3"/>
  <c r="GR6" i="3"/>
  <c r="GS6" i="3"/>
  <c r="GT6" i="3"/>
  <c r="GU6" i="3"/>
  <c r="GV6" i="3"/>
  <c r="GW6" i="3"/>
  <c r="GX6" i="3"/>
  <c r="GY6" i="3"/>
  <c r="GZ6" i="3"/>
  <c r="HA6" i="3"/>
  <c r="HB6" i="3"/>
  <c r="HC6" i="3"/>
  <c r="HD6" i="3"/>
  <c r="HE6" i="3"/>
  <c r="HF6" i="3"/>
  <c r="HG6" i="3"/>
  <c r="HH6" i="3"/>
  <c r="HI6" i="3"/>
  <c r="HJ6" i="3"/>
  <c r="HK6" i="3"/>
  <c r="HL6" i="3"/>
  <c r="HM6" i="3"/>
  <c r="HN6" i="3"/>
  <c r="HO6" i="3"/>
  <c r="GN7" i="3"/>
  <c r="GO7" i="3"/>
  <c r="GP7" i="3"/>
  <c r="GQ7" i="3"/>
  <c r="GR7" i="3"/>
  <c r="GS7" i="3"/>
  <c r="GT7" i="3"/>
  <c r="GU7" i="3"/>
  <c r="GV7" i="3"/>
  <c r="GW7" i="3"/>
  <c r="GX7" i="3"/>
  <c r="GY7" i="3"/>
  <c r="GZ7" i="3"/>
  <c r="HA7" i="3"/>
  <c r="HB7" i="3"/>
  <c r="HC7" i="3"/>
  <c r="HD7" i="3"/>
  <c r="HE7" i="3"/>
  <c r="HF7" i="3"/>
  <c r="HG7" i="3"/>
  <c r="HH7" i="3"/>
  <c r="HI7" i="3"/>
  <c r="HJ7" i="3"/>
  <c r="HK7" i="3"/>
  <c r="HL7" i="3"/>
  <c r="HM7" i="3"/>
  <c r="HN7" i="3"/>
  <c r="HO7" i="3"/>
  <c r="GN8" i="3"/>
  <c r="GO8" i="3"/>
  <c r="GP8" i="3"/>
  <c r="GQ8" i="3"/>
  <c r="GR8" i="3"/>
  <c r="GS8" i="3"/>
  <c r="GT8" i="3"/>
  <c r="GU8" i="3"/>
  <c r="GV8" i="3"/>
  <c r="GW8" i="3"/>
  <c r="GX8" i="3"/>
  <c r="GY8" i="3"/>
  <c r="GZ8" i="3"/>
  <c r="HA8" i="3"/>
  <c r="HB8" i="3"/>
  <c r="HC8" i="3"/>
  <c r="HD8" i="3"/>
  <c r="HE8" i="3"/>
  <c r="HF8" i="3"/>
  <c r="HG8" i="3"/>
  <c r="HH8" i="3"/>
  <c r="HI8" i="3"/>
  <c r="HJ8" i="3"/>
  <c r="HK8" i="3"/>
  <c r="HL8" i="3"/>
  <c r="HM8" i="3"/>
  <c r="HN8" i="3"/>
  <c r="HO8" i="3"/>
  <c r="GN10" i="3"/>
  <c r="GO10" i="3"/>
  <c r="GP10" i="3"/>
  <c r="GQ10" i="3"/>
  <c r="GR10" i="3"/>
  <c r="GS10" i="3"/>
  <c r="GT10" i="3"/>
  <c r="GU10" i="3"/>
  <c r="GV10" i="3"/>
  <c r="GW10" i="3"/>
  <c r="GX10" i="3"/>
  <c r="GY10" i="3"/>
  <c r="GZ10" i="3"/>
  <c r="HA10" i="3"/>
  <c r="HB10" i="3"/>
  <c r="HC10" i="3"/>
  <c r="HD10" i="3"/>
  <c r="HE10" i="3"/>
  <c r="HF10" i="3"/>
  <c r="HG10" i="3"/>
  <c r="HH10" i="3"/>
  <c r="HI10" i="3"/>
  <c r="HJ10" i="3"/>
  <c r="HK10" i="3"/>
  <c r="HL10" i="3"/>
  <c r="HM10" i="3"/>
  <c r="HN10" i="3"/>
  <c r="HO10" i="3"/>
  <c r="GN11" i="3"/>
  <c r="GO11" i="3"/>
  <c r="GP11" i="3"/>
  <c r="GQ11" i="3"/>
  <c r="GR11" i="3"/>
  <c r="GS11" i="3"/>
  <c r="GT11" i="3"/>
  <c r="GU11" i="3"/>
  <c r="GV11" i="3"/>
  <c r="GW11" i="3"/>
  <c r="GX11" i="3"/>
  <c r="GY11" i="3"/>
  <c r="GZ11" i="3"/>
  <c r="HA11" i="3"/>
  <c r="HB11" i="3"/>
  <c r="HC11" i="3"/>
  <c r="HD11" i="3"/>
  <c r="HE11" i="3"/>
  <c r="HF11" i="3"/>
  <c r="HG11" i="3"/>
  <c r="HH11" i="3"/>
  <c r="HI11" i="3"/>
  <c r="HJ11" i="3"/>
  <c r="HK11" i="3"/>
  <c r="HL11" i="3"/>
  <c r="HM11" i="3"/>
  <c r="HN11" i="3"/>
  <c r="HO11" i="3"/>
  <c r="GN12" i="3"/>
  <c r="GO12" i="3"/>
  <c r="GP12" i="3"/>
  <c r="GQ12" i="3"/>
  <c r="GR12" i="3"/>
  <c r="GS12" i="3"/>
  <c r="GT12" i="3"/>
  <c r="GU12" i="3"/>
  <c r="GV12" i="3"/>
  <c r="GW12" i="3"/>
  <c r="GX12" i="3"/>
  <c r="GY12" i="3"/>
  <c r="GZ12" i="3"/>
  <c r="HA12" i="3"/>
  <c r="HB12" i="3"/>
  <c r="HC12" i="3"/>
  <c r="HD12" i="3"/>
  <c r="HE12" i="3"/>
  <c r="HF12" i="3"/>
  <c r="HG12" i="3"/>
  <c r="HH12" i="3"/>
  <c r="HI12" i="3"/>
  <c r="HJ12" i="3"/>
  <c r="HK12" i="3"/>
  <c r="HL12" i="3"/>
  <c r="HM12" i="3"/>
  <c r="HN12" i="3"/>
  <c r="HO12" i="3"/>
  <c r="GN13" i="3"/>
  <c r="GO13" i="3"/>
  <c r="GP13" i="3"/>
  <c r="GQ13" i="3"/>
  <c r="GR13" i="3"/>
  <c r="GS13" i="3"/>
  <c r="GT13" i="3"/>
  <c r="GU13" i="3"/>
  <c r="GV13" i="3"/>
  <c r="GW13" i="3"/>
  <c r="GX13" i="3"/>
  <c r="GY13" i="3"/>
  <c r="GZ13" i="3"/>
  <c r="HA13" i="3"/>
  <c r="HB13" i="3"/>
  <c r="HC13" i="3"/>
  <c r="HD13" i="3"/>
  <c r="HE13" i="3"/>
  <c r="HF13" i="3"/>
  <c r="HG13" i="3"/>
  <c r="HH13" i="3"/>
  <c r="HI13" i="3"/>
  <c r="HJ13" i="3"/>
  <c r="HK13" i="3"/>
  <c r="HL13" i="3"/>
  <c r="HM13" i="3"/>
  <c r="HN13" i="3"/>
  <c r="HO13" i="3"/>
  <c r="GN14" i="3"/>
  <c r="GO14" i="3"/>
  <c r="GP14" i="3"/>
  <c r="GQ14" i="3"/>
  <c r="GR14" i="3"/>
  <c r="GS14" i="3"/>
  <c r="GT14" i="3"/>
  <c r="GU14" i="3"/>
  <c r="GV14" i="3"/>
  <c r="GW14" i="3"/>
  <c r="GX14" i="3"/>
  <c r="GY14" i="3"/>
  <c r="GZ14" i="3"/>
  <c r="HA14" i="3"/>
  <c r="HB14" i="3"/>
  <c r="HC14" i="3"/>
  <c r="HD14" i="3"/>
  <c r="HE14" i="3"/>
  <c r="HF14" i="3"/>
  <c r="HG14" i="3"/>
  <c r="HH14" i="3"/>
  <c r="HI14" i="3"/>
  <c r="HJ14" i="3"/>
  <c r="HK14" i="3"/>
  <c r="HL14" i="3"/>
  <c r="HM14" i="3"/>
  <c r="HN14" i="3"/>
  <c r="HO14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Z15" i="3"/>
  <c r="HA15" i="3"/>
  <c r="HB15" i="3"/>
  <c r="HC15" i="3"/>
  <c r="HD15" i="3"/>
  <c r="HE15" i="3"/>
  <c r="HF15" i="3"/>
  <c r="HG15" i="3"/>
  <c r="HH15" i="3"/>
  <c r="HI15" i="3"/>
  <c r="HJ15" i="3"/>
  <c r="HK15" i="3"/>
  <c r="HL15" i="3"/>
  <c r="HM15" i="3"/>
  <c r="HN15" i="3"/>
  <c r="HO15" i="3"/>
  <c r="GN16" i="3"/>
  <c r="GO16" i="3"/>
  <c r="GP16" i="3"/>
  <c r="GQ16" i="3"/>
  <c r="GR16" i="3"/>
  <c r="GS16" i="3"/>
  <c r="GT16" i="3"/>
  <c r="GU16" i="3"/>
  <c r="GV16" i="3"/>
  <c r="GW16" i="3"/>
  <c r="GX16" i="3"/>
  <c r="GY16" i="3"/>
  <c r="GZ16" i="3"/>
  <c r="HA16" i="3"/>
  <c r="HB16" i="3"/>
  <c r="HC16" i="3"/>
  <c r="HD16" i="3"/>
  <c r="HE16" i="3"/>
  <c r="HF16" i="3"/>
  <c r="HG16" i="3"/>
  <c r="HH16" i="3"/>
  <c r="HI16" i="3"/>
  <c r="HJ16" i="3"/>
  <c r="HK16" i="3"/>
  <c r="HL16" i="3"/>
  <c r="HM16" i="3"/>
  <c r="HN16" i="3"/>
  <c r="HO16" i="3"/>
  <c r="GN19" i="3"/>
  <c r="GO19" i="3"/>
  <c r="GP19" i="3"/>
  <c r="GQ19" i="3"/>
  <c r="GR19" i="3"/>
  <c r="GS19" i="3"/>
  <c r="GT19" i="3"/>
  <c r="GU19" i="3"/>
  <c r="GV19" i="3"/>
  <c r="GW19" i="3"/>
  <c r="GX19" i="3"/>
  <c r="GY19" i="3"/>
  <c r="GZ19" i="3"/>
  <c r="HA19" i="3"/>
  <c r="HB19" i="3"/>
  <c r="HC19" i="3"/>
  <c r="HD19" i="3"/>
  <c r="HE19" i="3"/>
  <c r="HF19" i="3"/>
  <c r="HG19" i="3"/>
  <c r="HH19" i="3"/>
  <c r="HI19" i="3"/>
  <c r="HJ19" i="3"/>
  <c r="HK19" i="3"/>
  <c r="HL19" i="3"/>
  <c r="HM19" i="3"/>
  <c r="HN19" i="3"/>
  <c r="HO19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GN21" i="3"/>
  <c r="GO21" i="3"/>
  <c r="GP21" i="3"/>
  <c r="GQ21" i="3"/>
  <c r="GR21" i="3"/>
  <c r="GS21" i="3"/>
  <c r="GT21" i="3"/>
  <c r="GU21" i="3"/>
  <c r="GV21" i="3"/>
  <c r="GW21" i="3"/>
  <c r="GX21" i="3"/>
  <c r="GY21" i="3"/>
  <c r="GZ21" i="3"/>
  <c r="HA21" i="3"/>
  <c r="HB21" i="3"/>
  <c r="HC21" i="3"/>
  <c r="HD21" i="3"/>
  <c r="HE21" i="3"/>
  <c r="HF21" i="3"/>
  <c r="HG21" i="3"/>
  <c r="HH21" i="3"/>
  <c r="HI21" i="3"/>
  <c r="HJ21" i="3"/>
  <c r="HK21" i="3"/>
  <c r="HL21" i="3"/>
  <c r="HM21" i="3"/>
  <c r="HN21" i="3"/>
  <c r="HO21" i="3"/>
  <c r="GN22" i="3"/>
  <c r="GO22" i="3"/>
  <c r="GP22" i="3"/>
  <c r="GQ22" i="3"/>
  <c r="GR22" i="3"/>
  <c r="GS22" i="3"/>
  <c r="GT22" i="3"/>
  <c r="GU22" i="3"/>
  <c r="GV22" i="3"/>
  <c r="GW22" i="3"/>
  <c r="GX22" i="3"/>
  <c r="GY22" i="3"/>
  <c r="GZ22" i="3"/>
  <c r="HA22" i="3"/>
  <c r="HB22" i="3"/>
  <c r="HC22" i="3"/>
  <c r="HD22" i="3"/>
  <c r="HE22" i="3"/>
  <c r="HF22" i="3"/>
  <c r="HG22" i="3"/>
  <c r="HH22" i="3"/>
  <c r="HI22" i="3"/>
  <c r="HJ22" i="3"/>
  <c r="HK22" i="3"/>
  <c r="HL22" i="3"/>
  <c r="HM22" i="3"/>
  <c r="HN22" i="3"/>
  <c r="HO22" i="3"/>
  <c r="GN23" i="3"/>
  <c r="GO23" i="3"/>
  <c r="GP23" i="3"/>
  <c r="GQ23" i="3"/>
  <c r="GR23" i="3"/>
  <c r="GS23" i="3"/>
  <c r="GT23" i="3"/>
  <c r="GU23" i="3"/>
  <c r="GV23" i="3"/>
  <c r="GW23" i="3"/>
  <c r="GX23" i="3"/>
  <c r="GY23" i="3"/>
  <c r="GZ23" i="3"/>
  <c r="HA23" i="3"/>
  <c r="HB23" i="3"/>
  <c r="HC23" i="3"/>
  <c r="HD23" i="3"/>
  <c r="HE23" i="3"/>
  <c r="HF23" i="3"/>
  <c r="HG23" i="3"/>
  <c r="HH23" i="3"/>
  <c r="HI23" i="3"/>
  <c r="HJ23" i="3"/>
  <c r="HK23" i="3"/>
  <c r="HL23" i="3"/>
  <c r="HM23" i="3"/>
  <c r="HN23" i="3"/>
  <c r="HO23" i="3"/>
  <c r="GN26" i="3"/>
  <c r="GO26" i="3"/>
  <c r="GP26" i="3"/>
  <c r="GQ26" i="3"/>
  <c r="GR26" i="3"/>
  <c r="GS26" i="3"/>
  <c r="GT26" i="3"/>
  <c r="GU26" i="3"/>
  <c r="GV26" i="3"/>
  <c r="GW26" i="3"/>
  <c r="GX26" i="3"/>
  <c r="GY26" i="3"/>
  <c r="GZ26" i="3"/>
  <c r="HA26" i="3"/>
  <c r="HB26" i="3"/>
  <c r="HC26" i="3"/>
  <c r="HD26" i="3"/>
  <c r="HE26" i="3"/>
  <c r="HF26" i="3"/>
  <c r="HG26" i="3"/>
  <c r="HH26" i="3"/>
  <c r="HI26" i="3"/>
  <c r="HJ26" i="3"/>
  <c r="HK26" i="3"/>
  <c r="HL26" i="3"/>
  <c r="HM26" i="3"/>
  <c r="HN26" i="3"/>
  <c r="HO26" i="3"/>
  <c r="GN27" i="3"/>
  <c r="GO27" i="3"/>
  <c r="GP27" i="3"/>
  <c r="GQ27" i="3"/>
  <c r="GR27" i="3"/>
  <c r="GS27" i="3"/>
  <c r="GT27" i="3"/>
  <c r="GU27" i="3"/>
  <c r="GV27" i="3"/>
  <c r="GW27" i="3"/>
  <c r="GX27" i="3"/>
  <c r="GY27" i="3"/>
  <c r="GZ27" i="3"/>
  <c r="HA27" i="3"/>
  <c r="HB27" i="3"/>
  <c r="HC27" i="3"/>
  <c r="HD27" i="3"/>
  <c r="HE27" i="3"/>
  <c r="HF27" i="3"/>
  <c r="HG27" i="3"/>
  <c r="HH27" i="3"/>
  <c r="HI27" i="3"/>
  <c r="HJ27" i="3"/>
  <c r="HK27" i="3"/>
  <c r="HL27" i="3"/>
  <c r="HM27" i="3"/>
  <c r="HN27" i="3"/>
  <c r="HO27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Z28" i="3"/>
  <c r="HA28" i="3"/>
  <c r="HB28" i="3"/>
  <c r="HC28" i="3"/>
  <c r="HD28" i="3"/>
  <c r="HE28" i="3"/>
  <c r="HF28" i="3"/>
  <c r="HG28" i="3"/>
  <c r="HH28" i="3"/>
  <c r="HI28" i="3"/>
  <c r="HJ28" i="3"/>
  <c r="HK28" i="3"/>
  <c r="HL28" i="3"/>
  <c r="HM28" i="3"/>
  <c r="HN28" i="3"/>
  <c r="HO28" i="3"/>
  <c r="GN29" i="3"/>
  <c r="GO29" i="3"/>
  <c r="GP29" i="3"/>
  <c r="GQ29" i="3"/>
  <c r="GR29" i="3"/>
  <c r="GS29" i="3"/>
  <c r="GT29" i="3"/>
  <c r="GU29" i="3"/>
  <c r="GV29" i="3"/>
  <c r="GW29" i="3"/>
  <c r="GX29" i="3"/>
  <c r="GY29" i="3"/>
  <c r="GZ29" i="3"/>
  <c r="HA29" i="3"/>
  <c r="HB29" i="3"/>
  <c r="HC29" i="3"/>
  <c r="HD29" i="3"/>
  <c r="HE29" i="3"/>
  <c r="HF29" i="3"/>
  <c r="HG29" i="3"/>
  <c r="HH29" i="3"/>
  <c r="HI29" i="3"/>
  <c r="HJ29" i="3"/>
  <c r="HK29" i="3"/>
  <c r="HL29" i="3"/>
  <c r="HM29" i="3"/>
  <c r="HN29" i="3"/>
  <c r="HO29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GM4" i="3"/>
  <c r="GM5" i="3"/>
  <c r="GM6" i="3"/>
  <c r="GM7" i="3"/>
  <c r="GM8" i="3"/>
  <c r="GM10" i="3"/>
  <c r="GM11" i="3"/>
  <c r="GM12" i="3"/>
  <c r="GM13" i="3"/>
  <c r="GM14" i="3"/>
  <c r="GM15" i="3"/>
  <c r="GM16" i="3"/>
  <c r="GM19" i="3"/>
  <c r="GM20" i="3"/>
  <c r="GM21" i="3"/>
  <c r="GM22" i="3"/>
  <c r="GM23" i="3"/>
  <c r="GM26" i="3"/>
  <c r="GM27" i="3"/>
  <c r="GM28" i="3"/>
  <c r="GM29" i="3"/>
  <c r="GM30" i="3"/>
  <c r="GM3" i="3"/>
  <c r="GX42" i="1" l="1"/>
  <c r="GU40" i="1" l="1"/>
  <c r="GU42" i="1" l="1"/>
  <c r="GL3" i="3" l="1"/>
  <c r="GL4" i="3"/>
  <c r="GL5" i="3"/>
  <c r="GL6" i="3"/>
  <c r="GL7" i="3"/>
  <c r="GL8" i="3"/>
  <c r="GL10" i="3"/>
  <c r="GL11" i="3"/>
  <c r="GL12" i="3"/>
  <c r="GL19" i="3"/>
  <c r="GL20" i="3"/>
  <c r="GL21" i="3"/>
  <c r="GL22" i="3"/>
  <c r="GL23" i="3"/>
  <c r="GL26" i="3"/>
  <c r="GL27" i="3"/>
  <c r="GL28" i="3"/>
  <c r="GL29" i="3"/>
  <c r="GL30" i="3"/>
  <c r="GK3" i="3" l="1"/>
  <c r="GK4" i="3"/>
  <c r="GK5" i="3"/>
  <c r="GK6" i="3"/>
  <c r="GK7" i="3"/>
  <c r="GK8" i="3"/>
  <c r="GK10" i="3"/>
  <c r="GK11" i="3"/>
  <c r="GK12" i="3"/>
  <c r="GK19" i="3"/>
  <c r="GK20" i="3"/>
  <c r="GK21" i="3"/>
  <c r="GK22" i="3"/>
  <c r="GK23" i="3"/>
  <c r="GK26" i="3"/>
  <c r="GK27" i="3"/>
  <c r="GK28" i="3"/>
  <c r="GK29" i="3"/>
  <c r="GK30" i="3"/>
  <c r="GJ3" i="3" l="1"/>
  <c r="GJ4" i="3"/>
  <c r="GJ5" i="3"/>
  <c r="GJ6" i="3"/>
  <c r="GJ7" i="3"/>
  <c r="GJ8" i="3"/>
  <c r="GJ10" i="3"/>
  <c r="GJ11" i="3"/>
  <c r="GJ12" i="3"/>
  <c r="GJ19" i="3"/>
  <c r="GJ20" i="3"/>
  <c r="GJ21" i="3"/>
  <c r="GJ22" i="3"/>
  <c r="GJ23" i="3"/>
  <c r="GJ26" i="3"/>
  <c r="GJ27" i="3"/>
  <c r="GJ28" i="3"/>
  <c r="GJ29" i="3"/>
  <c r="GJ30" i="3"/>
  <c r="GI3" i="3" l="1"/>
  <c r="GI4" i="3"/>
  <c r="GI5" i="3"/>
  <c r="GI6" i="3"/>
  <c r="GI7" i="3"/>
  <c r="GI8" i="3"/>
  <c r="GI10" i="3"/>
  <c r="GI11" i="3"/>
  <c r="GI12" i="3"/>
  <c r="GI19" i="3"/>
  <c r="GI20" i="3"/>
  <c r="GI21" i="3"/>
  <c r="GI22" i="3"/>
  <c r="GI23" i="3"/>
  <c r="GI26" i="3"/>
  <c r="GI27" i="3"/>
  <c r="GI28" i="3"/>
  <c r="GI29" i="3"/>
  <c r="GI30" i="3"/>
  <c r="GH3" i="3" l="1"/>
  <c r="GH4" i="3"/>
  <c r="GH5" i="3"/>
  <c r="GH6" i="3"/>
  <c r="GH7" i="3"/>
  <c r="GH8" i="3"/>
  <c r="GH10" i="3"/>
  <c r="GH11" i="3"/>
  <c r="GH12" i="3"/>
  <c r="GH19" i="3"/>
  <c r="GH20" i="3"/>
  <c r="GH21" i="3"/>
  <c r="GH22" i="3"/>
  <c r="GH23" i="3"/>
  <c r="GH26" i="3"/>
  <c r="GH27" i="3"/>
  <c r="GH28" i="3"/>
  <c r="GH29" i="3"/>
  <c r="GH30" i="3"/>
  <c r="GG3" i="3" l="1"/>
  <c r="GG4" i="3"/>
  <c r="GG5" i="3"/>
  <c r="GG6" i="3"/>
  <c r="GG7" i="3"/>
  <c r="GG8" i="3"/>
  <c r="GG10" i="3"/>
  <c r="GG11" i="3"/>
  <c r="GG12" i="3"/>
  <c r="GG19" i="3"/>
  <c r="GG20" i="3"/>
  <c r="GG21" i="3"/>
  <c r="GG22" i="3"/>
  <c r="GG23" i="3"/>
  <c r="GG26" i="3"/>
  <c r="GG27" i="3"/>
  <c r="GG28" i="3"/>
  <c r="GG29" i="3"/>
  <c r="GG30" i="3"/>
  <c r="GF3" i="3" l="1"/>
  <c r="GF4" i="3"/>
  <c r="GF5" i="3"/>
  <c r="GF6" i="3"/>
  <c r="GF7" i="3"/>
  <c r="GF8" i="3"/>
  <c r="GF10" i="3"/>
  <c r="GF11" i="3"/>
  <c r="GF12" i="3"/>
  <c r="GF19" i="3"/>
  <c r="GF20" i="3"/>
  <c r="GF21" i="3"/>
  <c r="GF22" i="3"/>
  <c r="GF23" i="3"/>
  <c r="GF26" i="3"/>
  <c r="GF27" i="3"/>
  <c r="GF28" i="3"/>
  <c r="GF29" i="3"/>
  <c r="GF30" i="3"/>
  <c r="FD10" i="3" l="1"/>
  <c r="FE10" i="3"/>
  <c r="FF10" i="3"/>
  <c r="FG10" i="3"/>
  <c r="FH10" i="3"/>
  <c r="FI10" i="3"/>
  <c r="FJ10" i="3"/>
  <c r="FK10" i="3"/>
  <c r="FL10" i="3"/>
  <c r="FM10" i="3"/>
  <c r="FN10" i="3"/>
  <c r="FO10" i="3"/>
  <c r="FP10" i="3"/>
  <c r="FQ10" i="3"/>
  <c r="FR10" i="3"/>
  <c r="FS10" i="3"/>
  <c r="FT10" i="3"/>
  <c r="FU10" i="3"/>
  <c r="FV10" i="3"/>
  <c r="FW10" i="3"/>
  <c r="FX10" i="3"/>
  <c r="FY10" i="3"/>
  <c r="FZ10" i="3"/>
  <c r="GA10" i="3"/>
  <c r="GB10" i="3"/>
  <c r="GC10" i="3"/>
  <c r="GD10" i="3"/>
  <c r="GE10" i="3"/>
  <c r="FD11" i="3"/>
  <c r="FE11" i="3"/>
  <c r="FF11" i="3"/>
  <c r="FG11" i="3"/>
  <c r="FH11" i="3"/>
  <c r="FI11" i="3"/>
  <c r="FJ11" i="3"/>
  <c r="FK11" i="3"/>
  <c r="FL11" i="3"/>
  <c r="FM11" i="3"/>
  <c r="FN11" i="3"/>
  <c r="FO11" i="3"/>
  <c r="FP11" i="3"/>
  <c r="FQ11" i="3"/>
  <c r="FR11" i="3"/>
  <c r="FS11" i="3"/>
  <c r="FT11" i="3"/>
  <c r="FU11" i="3"/>
  <c r="FV11" i="3"/>
  <c r="FW11" i="3"/>
  <c r="FX11" i="3"/>
  <c r="FY11" i="3"/>
  <c r="FZ11" i="3"/>
  <c r="GA11" i="3"/>
  <c r="GB11" i="3"/>
  <c r="GC11" i="3"/>
  <c r="GD11" i="3"/>
  <c r="GE11" i="3"/>
  <c r="FD12" i="3"/>
  <c r="FE12" i="3"/>
  <c r="FF12" i="3"/>
  <c r="FG12" i="3"/>
  <c r="FH12" i="3"/>
  <c r="FI12" i="3"/>
  <c r="FJ12" i="3"/>
  <c r="FK12" i="3"/>
  <c r="FL12" i="3"/>
  <c r="FM12" i="3"/>
  <c r="FN12" i="3"/>
  <c r="FO12" i="3"/>
  <c r="FP12" i="3"/>
  <c r="FQ12" i="3"/>
  <c r="FR12" i="3"/>
  <c r="FS12" i="3"/>
  <c r="FT12" i="3"/>
  <c r="FU12" i="3"/>
  <c r="FV12" i="3"/>
  <c r="FW12" i="3"/>
  <c r="FX12" i="3"/>
  <c r="FY12" i="3"/>
  <c r="FZ12" i="3"/>
  <c r="GA12" i="3"/>
  <c r="GB12" i="3"/>
  <c r="GC12" i="3"/>
  <c r="GD12" i="3"/>
  <c r="GE12" i="3"/>
  <c r="FD19" i="3"/>
  <c r="FE19" i="3"/>
  <c r="FF19" i="3"/>
  <c r="FG19" i="3"/>
  <c r="FH19" i="3"/>
  <c r="FI19" i="3"/>
  <c r="FJ19" i="3"/>
  <c r="FK19" i="3"/>
  <c r="FL19" i="3"/>
  <c r="FM19" i="3"/>
  <c r="FN19" i="3"/>
  <c r="FO19" i="3"/>
  <c r="FP19" i="3"/>
  <c r="FQ19" i="3"/>
  <c r="FR19" i="3"/>
  <c r="FS19" i="3"/>
  <c r="FT19" i="3"/>
  <c r="FU19" i="3"/>
  <c r="FV19" i="3"/>
  <c r="FW19" i="3"/>
  <c r="FX19" i="3"/>
  <c r="FY19" i="3"/>
  <c r="FZ19" i="3"/>
  <c r="GA19" i="3"/>
  <c r="GB19" i="3"/>
  <c r="GC19" i="3"/>
  <c r="GD19" i="3"/>
  <c r="GE19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FD21" i="3"/>
  <c r="FE21" i="3"/>
  <c r="FF21" i="3"/>
  <c r="FG21" i="3"/>
  <c r="FH21" i="3"/>
  <c r="FI21" i="3"/>
  <c r="FJ21" i="3"/>
  <c r="FK21" i="3"/>
  <c r="FL21" i="3"/>
  <c r="FM21" i="3"/>
  <c r="FN21" i="3"/>
  <c r="FO21" i="3"/>
  <c r="FP21" i="3"/>
  <c r="FQ21" i="3"/>
  <c r="FR21" i="3"/>
  <c r="FS21" i="3"/>
  <c r="FT21" i="3"/>
  <c r="FU21" i="3"/>
  <c r="FV21" i="3"/>
  <c r="FW21" i="3"/>
  <c r="FX21" i="3"/>
  <c r="FY21" i="3"/>
  <c r="FZ21" i="3"/>
  <c r="GA21" i="3"/>
  <c r="GB21" i="3"/>
  <c r="GC21" i="3"/>
  <c r="GD21" i="3"/>
  <c r="GE21" i="3"/>
  <c r="FD22" i="3"/>
  <c r="FE22" i="3"/>
  <c r="FF22" i="3"/>
  <c r="FG22" i="3"/>
  <c r="FH22" i="3"/>
  <c r="FI22" i="3"/>
  <c r="FJ22" i="3"/>
  <c r="FK22" i="3"/>
  <c r="FL22" i="3"/>
  <c r="FM22" i="3"/>
  <c r="FN22" i="3"/>
  <c r="FO22" i="3"/>
  <c r="FP22" i="3"/>
  <c r="FQ22" i="3"/>
  <c r="FR22" i="3"/>
  <c r="FS22" i="3"/>
  <c r="FT22" i="3"/>
  <c r="FU22" i="3"/>
  <c r="FV22" i="3"/>
  <c r="FW22" i="3"/>
  <c r="FX22" i="3"/>
  <c r="FY22" i="3"/>
  <c r="FZ22" i="3"/>
  <c r="GA22" i="3"/>
  <c r="GB22" i="3"/>
  <c r="GC22" i="3"/>
  <c r="GD22" i="3"/>
  <c r="GE22" i="3"/>
  <c r="FD23" i="3"/>
  <c r="FE23" i="3"/>
  <c r="FF23" i="3"/>
  <c r="FG23" i="3"/>
  <c r="FH23" i="3"/>
  <c r="FI23" i="3"/>
  <c r="FJ23" i="3"/>
  <c r="FK23" i="3"/>
  <c r="FL23" i="3"/>
  <c r="FM23" i="3"/>
  <c r="FN23" i="3"/>
  <c r="FO23" i="3"/>
  <c r="FP23" i="3"/>
  <c r="FQ23" i="3"/>
  <c r="FR23" i="3"/>
  <c r="FS23" i="3"/>
  <c r="FT23" i="3"/>
  <c r="FU23" i="3"/>
  <c r="FV23" i="3"/>
  <c r="FW23" i="3"/>
  <c r="FX23" i="3"/>
  <c r="FY23" i="3"/>
  <c r="FZ23" i="3"/>
  <c r="GA23" i="3"/>
  <c r="GB23" i="3"/>
  <c r="GC23" i="3"/>
  <c r="GD23" i="3"/>
  <c r="GE23" i="3"/>
  <c r="FD26" i="3"/>
  <c r="FE26" i="3"/>
  <c r="FF26" i="3"/>
  <c r="FG26" i="3"/>
  <c r="FH26" i="3"/>
  <c r="FI26" i="3"/>
  <c r="FJ26" i="3"/>
  <c r="FK26" i="3"/>
  <c r="FL26" i="3"/>
  <c r="FM26" i="3"/>
  <c r="FN26" i="3"/>
  <c r="FO26" i="3"/>
  <c r="FP26" i="3"/>
  <c r="FQ26" i="3"/>
  <c r="FR26" i="3"/>
  <c r="FS26" i="3"/>
  <c r="FT26" i="3"/>
  <c r="FU26" i="3"/>
  <c r="FV26" i="3"/>
  <c r="FW26" i="3"/>
  <c r="FX26" i="3"/>
  <c r="FY26" i="3"/>
  <c r="FZ26" i="3"/>
  <c r="GA26" i="3"/>
  <c r="GB26" i="3"/>
  <c r="GC26" i="3"/>
  <c r="GD26" i="3"/>
  <c r="GE26" i="3"/>
  <c r="FD27" i="3"/>
  <c r="FE27" i="3"/>
  <c r="FF27" i="3"/>
  <c r="FG27" i="3"/>
  <c r="FH27" i="3"/>
  <c r="FI27" i="3"/>
  <c r="FJ27" i="3"/>
  <c r="FK27" i="3"/>
  <c r="FL27" i="3"/>
  <c r="FM27" i="3"/>
  <c r="FN27" i="3"/>
  <c r="FO27" i="3"/>
  <c r="FP27" i="3"/>
  <c r="FQ27" i="3"/>
  <c r="FR27" i="3"/>
  <c r="FS27" i="3"/>
  <c r="FT27" i="3"/>
  <c r="FU27" i="3"/>
  <c r="FV27" i="3"/>
  <c r="FW27" i="3"/>
  <c r="FX27" i="3"/>
  <c r="FY27" i="3"/>
  <c r="FZ27" i="3"/>
  <c r="GA27" i="3"/>
  <c r="GB27" i="3"/>
  <c r="GC27" i="3"/>
  <c r="GD27" i="3"/>
  <c r="GE27" i="3"/>
  <c r="FD28" i="3"/>
  <c r="FE28" i="3"/>
  <c r="FF28" i="3"/>
  <c r="FG28" i="3"/>
  <c r="FH28" i="3"/>
  <c r="FI28" i="3"/>
  <c r="FJ28" i="3"/>
  <c r="FK28" i="3"/>
  <c r="FL28" i="3"/>
  <c r="FM28" i="3"/>
  <c r="FN28" i="3"/>
  <c r="FO28" i="3"/>
  <c r="FP28" i="3"/>
  <c r="FQ28" i="3"/>
  <c r="FR28" i="3"/>
  <c r="FS28" i="3"/>
  <c r="FT28" i="3"/>
  <c r="FU28" i="3"/>
  <c r="FV28" i="3"/>
  <c r="FW28" i="3"/>
  <c r="FX28" i="3"/>
  <c r="FY28" i="3"/>
  <c r="FZ28" i="3"/>
  <c r="GA28" i="3"/>
  <c r="GB28" i="3"/>
  <c r="GC28" i="3"/>
  <c r="GD28" i="3"/>
  <c r="GE28" i="3"/>
  <c r="FD29" i="3"/>
  <c r="FE29" i="3"/>
  <c r="FF29" i="3"/>
  <c r="FG29" i="3"/>
  <c r="FH29" i="3"/>
  <c r="FI29" i="3"/>
  <c r="FJ29" i="3"/>
  <c r="FK29" i="3"/>
  <c r="FL29" i="3"/>
  <c r="FM29" i="3"/>
  <c r="FN29" i="3"/>
  <c r="FO29" i="3"/>
  <c r="FP29" i="3"/>
  <c r="FQ29" i="3"/>
  <c r="FR29" i="3"/>
  <c r="FS29" i="3"/>
  <c r="FT29" i="3"/>
  <c r="FU29" i="3"/>
  <c r="FV29" i="3"/>
  <c r="FW29" i="3"/>
  <c r="FX29" i="3"/>
  <c r="FY29" i="3"/>
  <c r="FZ29" i="3"/>
  <c r="GA29" i="3"/>
  <c r="GB29" i="3"/>
  <c r="GC29" i="3"/>
  <c r="GD29" i="3"/>
  <c r="GE29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FC27" i="3"/>
  <c r="FC28" i="3"/>
  <c r="FC29" i="3"/>
  <c r="FC30" i="3"/>
  <c r="FC26" i="3"/>
  <c r="FC20" i="3"/>
  <c r="FC21" i="3"/>
  <c r="FC22" i="3"/>
  <c r="FC23" i="3"/>
  <c r="FC19" i="3"/>
  <c r="FC11" i="3"/>
  <c r="FC12" i="3"/>
  <c r="FC10" i="3"/>
  <c r="FD6" i="3"/>
  <c r="FE6" i="3"/>
  <c r="FF6" i="3"/>
  <c r="FG6" i="3"/>
  <c r="FH6" i="3"/>
  <c r="FI6" i="3"/>
  <c r="FJ6" i="3"/>
  <c r="FK6" i="3"/>
  <c r="FL6" i="3"/>
  <c r="FM6" i="3"/>
  <c r="FN6" i="3"/>
  <c r="FO6" i="3"/>
  <c r="FP6" i="3"/>
  <c r="FQ6" i="3"/>
  <c r="FR6" i="3"/>
  <c r="FS6" i="3"/>
  <c r="FT6" i="3"/>
  <c r="FU6" i="3"/>
  <c r="FV6" i="3"/>
  <c r="FW6" i="3"/>
  <c r="FX6" i="3"/>
  <c r="FY6" i="3"/>
  <c r="FZ6" i="3"/>
  <c r="GA6" i="3"/>
  <c r="GB6" i="3"/>
  <c r="GC6" i="3"/>
  <c r="GD6" i="3"/>
  <c r="GE6" i="3"/>
  <c r="FD7" i="3"/>
  <c r="FE7" i="3"/>
  <c r="FF7" i="3"/>
  <c r="FG7" i="3"/>
  <c r="FH7" i="3"/>
  <c r="FI7" i="3"/>
  <c r="FJ7" i="3"/>
  <c r="FK7" i="3"/>
  <c r="FL7" i="3"/>
  <c r="FM7" i="3"/>
  <c r="FN7" i="3"/>
  <c r="FO7" i="3"/>
  <c r="FP7" i="3"/>
  <c r="FQ7" i="3"/>
  <c r="FR7" i="3"/>
  <c r="FS7" i="3"/>
  <c r="FT7" i="3"/>
  <c r="FU7" i="3"/>
  <c r="FV7" i="3"/>
  <c r="FW7" i="3"/>
  <c r="FX7" i="3"/>
  <c r="FY7" i="3"/>
  <c r="FZ7" i="3"/>
  <c r="GA7" i="3"/>
  <c r="GB7" i="3"/>
  <c r="GC7" i="3"/>
  <c r="GD7" i="3"/>
  <c r="GE7" i="3"/>
  <c r="FD8" i="3"/>
  <c r="FE8" i="3"/>
  <c r="FF8" i="3"/>
  <c r="FG8" i="3"/>
  <c r="FH8" i="3"/>
  <c r="FI8" i="3"/>
  <c r="FJ8" i="3"/>
  <c r="FK8" i="3"/>
  <c r="FL8" i="3"/>
  <c r="FM8" i="3"/>
  <c r="FN8" i="3"/>
  <c r="FO8" i="3"/>
  <c r="FP8" i="3"/>
  <c r="FQ8" i="3"/>
  <c r="FR8" i="3"/>
  <c r="FS8" i="3"/>
  <c r="FT8" i="3"/>
  <c r="FU8" i="3"/>
  <c r="FV8" i="3"/>
  <c r="FW8" i="3"/>
  <c r="FX8" i="3"/>
  <c r="FY8" i="3"/>
  <c r="FZ8" i="3"/>
  <c r="GA8" i="3"/>
  <c r="GB8" i="3"/>
  <c r="GC8" i="3"/>
  <c r="GD8" i="3"/>
  <c r="GE8" i="3"/>
  <c r="FC6" i="3"/>
  <c r="FC7" i="3"/>
  <c r="FC8" i="3"/>
  <c r="FD3" i="3"/>
  <c r="FE3" i="3"/>
  <c r="FF3" i="3"/>
  <c r="FG3" i="3"/>
  <c r="FH3" i="3"/>
  <c r="FI3" i="3"/>
  <c r="FJ3" i="3"/>
  <c r="FK3" i="3"/>
  <c r="FL3" i="3"/>
  <c r="FM3" i="3"/>
  <c r="FN3" i="3"/>
  <c r="FO3" i="3"/>
  <c r="FP3" i="3"/>
  <c r="FQ3" i="3"/>
  <c r="FR3" i="3"/>
  <c r="FS3" i="3"/>
  <c r="FT3" i="3"/>
  <c r="FU3" i="3"/>
  <c r="FV3" i="3"/>
  <c r="FW3" i="3"/>
  <c r="FX3" i="3"/>
  <c r="FY3" i="3"/>
  <c r="FZ3" i="3"/>
  <c r="GA3" i="3"/>
  <c r="GB3" i="3"/>
  <c r="GC3" i="3"/>
  <c r="GD3" i="3"/>
  <c r="GE3" i="3"/>
  <c r="FD4" i="3"/>
  <c r="FE4" i="3"/>
  <c r="FF4" i="3"/>
  <c r="FG4" i="3"/>
  <c r="FH4" i="3"/>
  <c r="FI4" i="3"/>
  <c r="FJ4" i="3"/>
  <c r="FK4" i="3"/>
  <c r="FL4" i="3"/>
  <c r="FM4" i="3"/>
  <c r="FN4" i="3"/>
  <c r="FO4" i="3"/>
  <c r="FP4" i="3"/>
  <c r="FQ4" i="3"/>
  <c r="FR4" i="3"/>
  <c r="FS4" i="3"/>
  <c r="FT4" i="3"/>
  <c r="FU4" i="3"/>
  <c r="FV4" i="3"/>
  <c r="FW4" i="3"/>
  <c r="FX4" i="3"/>
  <c r="FY4" i="3"/>
  <c r="FZ4" i="3"/>
  <c r="GA4" i="3"/>
  <c r="GB4" i="3"/>
  <c r="GC4" i="3"/>
  <c r="GD4" i="3"/>
  <c r="GE4" i="3"/>
  <c r="FD5" i="3"/>
  <c r="FE5" i="3"/>
  <c r="FF5" i="3"/>
  <c r="FG5" i="3"/>
  <c r="FH5" i="3"/>
  <c r="FI5" i="3"/>
  <c r="FJ5" i="3"/>
  <c r="FK5" i="3"/>
  <c r="FL5" i="3"/>
  <c r="FM5" i="3"/>
  <c r="FN5" i="3"/>
  <c r="FO5" i="3"/>
  <c r="FP5" i="3"/>
  <c r="FQ5" i="3"/>
  <c r="FR5" i="3"/>
  <c r="FS5" i="3"/>
  <c r="FT5" i="3"/>
  <c r="FU5" i="3"/>
  <c r="FV5" i="3"/>
  <c r="FW5" i="3"/>
  <c r="FX5" i="3"/>
  <c r="FY5" i="3"/>
  <c r="FZ5" i="3"/>
  <c r="GA5" i="3"/>
  <c r="GB5" i="3"/>
  <c r="GC5" i="3"/>
  <c r="GD5" i="3"/>
  <c r="GE5" i="3"/>
  <c r="FC5" i="3"/>
  <c r="FC4" i="3"/>
  <c r="FC3" i="3"/>
  <c r="GL13" i="3" l="1"/>
  <c r="GK13" i="3"/>
  <c r="GJ13" i="3"/>
  <c r="GI13" i="3"/>
  <c r="GH13" i="3"/>
  <c r="GG13" i="3"/>
  <c r="GF13" i="3"/>
  <c r="FH13" i="3"/>
  <c r="FP13" i="3"/>
  <c r="FX13" i="3"/>
  <c r="FC13" i="3"/>
  <c r="FO13" i="3"/>
  <c r="FI13" i="3"/>
  <c r="FQ13" i="3"/>
  <c r="FY13" i="3"/>
  <c r="FJ13" i="3"/>
  <c r="FR13" i="3"/>
  <c r="FZ13" i="3"/>
  <c r="FW13" i="3"/>
  <c r="FK13" i="3"/>
  <c r="FS13" i="3"/>
  <c r="GA13" i="3"/>
  <c r="FD13" i="3"/>
  <c r="FL13" i="3"/>
  <c r="FT13" i="3"/>
  <c r="GB13" i="3"/>
  <c r="FE13" i="3"/>
  <c r="FM13" i="3"/>
  <c r="FU13" i="3"/>
  <c r="GC13" i="3"/>
  <c r="FG13" i="3"/>
  <c r="FF13" i="3"/>
  <c r="FN13" i="3"/>
  <c r="FV13" i="3"/>
  <c r="GD13" i="3"/>
  <c r="GE13" i="3"/>
  <c r="GL14" i="3"/>
  <c r="GK14" i="3"/>
  <c r="GJ14" i="3"/>
  <c r="GI14" i="3"/>
  <c r="GH14" i="3"/>
  <c r="GG14" i="3"/>
  <c r="GF14" i="3"/>
  <c r="FD14" i="3"/>
  <c r="FL14" i="3"/>
  <c r="FT14" i="3"/>
  <c r="GB14" i="3"/>
  <c r="FE14" i="3"/>
  <c r="FM14" i="3"/>
  <c r="FU14" i="3"/>
  <c r="GC14" i="3"/>
  <c r="FC14" i="3"/>
  <c r="FF14" i="3"/>
  <c r="FN14" i="3"/>
  <c r="FV14" i="3"/>
  <c r="GD14" i="3"/>
  <c r="FG14" i="3"/>
  <c r="FO14" i="3"/>
  <c r="FW14" i="3"/>
  <c r="GE14" i="3"/>
  <c r="FH14" i="3"/>
  <c r="FP14" i="3"/>
  <c r="FX14" i="3"/>
  <c r="FI14" i="3"/>
  <c r="FQ14" i="3"/>
  <c r="FY14" i="3"/>
  <c r="FK14" i="3"/>
  <c r="GA14" i="3"/>
  <c r="FJ14" i="3"/>
  <c r="FR14" i="3"/>
  <c r="FZ14" i="3"/>
  <c r="FS14" i="3"/>
  <c r="GL15" i="3"/>
  <c r="GK15" i="3"/>
  <c r="GJ15" i="3"/>
  <c r="GI15" i="3"/>
  <c r="GH15" i="3"/>
  <c r="GG15" i="3"/>
  <c r="GF15" i="3"/>
  <c r="FH15" i="3"/>
  <c r="FP15" i="3"/>
  <c r="FX15" i="3"/>
  <c r="FI15" i="3"/>
  <c r="FQ15" i="3"/>
  <c r="FY15" i="3"/>
  <c r="FJ15" i="3"/>
  <c r="FR15" i="3"/>
  <c r="FZ15" i="3"/>
  <c r="FC15" i="3"/>
  <c r="FK15" i="3"/>
  <c r="FS15" i="3"/>
  <c r="GA15" i="3"/>
  <c r="FD15" i="3"/>
  <c r="FL15" i="3"/>
  <c r="FT15" i="3"/>
  <c r="GB15" i="3"/>
  <c r="FE15" i="3"/>
  <c r="FM15" i="3"/>
  <c r="FU15" i="3"/>
  <c r="GC15" i="3"/>
  <c r="FO15" i="3"/>
  <c r="GE15" i="3"/>
  <c r="FF15" i="3"/>
  <c r="FN15" i="3"/>
  <c r="FV15" i="3"/>
  <c r="GD15" i="3"/>
  <c r="FG15" i="3"/>
  <c r="FW15" i="3"/>
  <c r="GL16" i="3"/>
  <c r="GK16" i="3"/>
  <c r="GJ16" i="3"/>
  <c r="GI16" i="3"/>
  <c r="GH16" i="3"/>
  <c r="GG16" i="3"/>
  <c r="GF16" i="3"/>
  <c r="FD16" i="3"/>
  <c r="FL16" i="3"/>
  <c r="FT16" i="3"/>
  <c r="GB16" i="3"/>
  <c r="FE16" i="3"/>
  <c r="FM16" i="3"/>
  <c r="FU16" i="3"/>
  <c r="GC16" i="3"/>
  <c r="FF16" i="3"/>
  <c r="FN16" i="3"/>
  <c r="FV16" i="3"/>
  <c r="GD16" i="3"/>
  <c r="FG16" i="3"/>
  <c r="FO16" i="3"/>
  <c r="FW16" i="3"/>
  <c r="GE16" i="3"/>
  <c r="FC16" i="3"/>
  <c r="FH16" i="3"/>
  <c r="FP16" i="3"/>
  <c r="FX16" i="3"/>
  <c r="FI16" i="3"/>
  <c r="FQ16" i="3"/>
  <c r="FY16" i="3"/>
  <c r="FS16" i="3"/>
  <c r="FJ16" i="3"/>
  <c r="FR16" i="3"/>
  <c r="FZ16" i="3"/>
  <c r="FK16" i="3"/>
  <c r="GA16" i="3"/>
  <c r="O44" i="2" l="1"/>
  <c r="O58" i="2"/>
  <c r="O59" i="2"/>
  <c r="O60" i="2"/>
  <c r="O64" i="2" l="1"/>
  <c r="O63" i="2"/>
  <c r="O62" i="2"/>
  <c r="O48" i="2"/>
  <c r="O49" i="2"/>
  <c r="O50" i="2"/>
  <c r="O51" i="2"/>
  <c r="O54" i="2"/>
  <c r="O55" i="2"/>
  <c r="O47" i="2"/>
  <c r="O3" i="2"/>
  <c r="O4" i="2"/>
  <c r="O5" i="2"/>
  <c r="O6" i="2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3" i="2"/>
  <c r="O26" i="2"/>
  <c r="O27" i="2"/>
  <c r="O28" i="2"/>
  <c r="O29" i="2"/>
  <c r="O30" i="2"/>
  <c r="O33" i="2"/>
  <c r="O34" i="2"/>
  <c r="O35" i="2"/>
  <c r="O36" i="2"/>
  <c r="O38" i="2"/>
  <c r="O39" i="2"/>
  <c r="O40" i="2"/>
  <c r="O41" i="2"/>
  <c r="O42" i="2"/>
  <c r="FB3" i="3"/>
  <c r="FB4" i="3"/>
  <c r="FB5" i="3"/>
  <c r="FB6" i="3"/>
  <c r="FB7" i="3"/>
  <c r="FB8" i="3"/>
  <c r="FB10" i="3"/>
  <c r="FB11" i="3"/>
  <c r="FB12" i="3"/>
  <c r="FB13" i="3"/>
  <c r="FB14" i="3"/>
  <c r="FB15" i="3"/>
  <c r="FB16" i="3"/>
  <c r="FB19" i="3"/>
  <c r="FB20" i="3"/>
  <c r="FB21" i="3"/>
  <c r="FB22" i="3"/>
  <c r="FB23" i="3"/>
  <c r="FB26" i="3"/>
  <c r="FB27" i="3"/>
  <c r="FB28" i="3"/>
  <c r="FB29" i="3"/>
  <c r="FB30" i="3"/>
  <c r="FA3" i="3"/>
  <c r="FA4" i="3"/>
  <c r="FA5" i="3"/>
  <c r="FA6" i="3"/>
  <c r="FA7" i="3"/>
  <c r="FA8" i="3"/>
  <c r="FA10" i="3"/>
  <c r="FA11" i="3"/>
  <c r="FA12" i="3"/>
  <c r="FA13" i="3"/>
  <c r="FA14" i="3"/>
  <c r="FA15" i="3"/>
  <c r="FA16" i="3"/>
  <c r="FA19" i="3"/>
  <c r="FA20" i="3"/>
  <c r="FA21" i="3"/>
  <c r="FA22" i="3"/>
  <c r="FA23" i="3"/>
  <c r="FA26" i="3"/>
  <c r="FA27" i="3"/>
  <c r="FA28" i="3"/>
  <c r="FA29" i="3"/>
  <c r="FA30" i="3"/>
  <c r="EZ3" i="3"/>
  <c r="EZ4" i="3"/>
  <c r="EZ5" i="3"/>
  <c r="EZ6" i="3"/>
  <c r="EZ7" i="3"/>
  <c r="EZ8" i="3"/>
  <c r="EZ10" i="3"/>
  <c r="EZ11" i="3"/>
  <c r="EZ12" i="3"/>
  <c r="EZ13" i="3"/>
  <c r="EZ14" i="3"/>
  <c r="EZ15" i="3"/>
  <c r="EZ16" i="3"/>
  <c r="EZ19" i="3"/>
  <c r="EZ20" i="3"/>
  <c r="EZ21" i="3"/>
  <c r="EZ22" i="3"/>
  <c r="EZ23" i="3"/>
  <c r="EZ26" i="3"/>
  <c r="EZ27" i="3"/>
  <c r="EZ28" i="3"/>
  <c r="EZ29" i="3"/>
  <c r="EZ30" i="3"/>
  <c r="EY3" i="3"/>
  <c r="EY4" i="3"/>
  <c r="EY5" i="3"/>
  <c r="EY6" i="3"/>
  <c r="EY7" i="3"/>
  <c r="EY8" i="3"/>
  <c r="EY10" i="3"/>
  <c r="EY11" i="3"/>
  <c r="EY12" i="3"/>
  <c r="EY13" i="3"/>
  <c r="EY14" i="3"/>
  <c r="EY15" i="3"/>
  <c r="EY16" i="3"/>
  <c r="EY19" i="3"/>
  <c r="EY20" i="3"/>
  <c r="EY21" i="3"/>
  <c r="EY22" i="3"/>
  <c r="EY23" i="3"/>
  <c r="EY26" i="3"/>
  <c r="EY27" i="3"/>
  <c r="EY28" i="3"/>
  <c r="EY29" i="3"/>
  <c r="EY30" i="3"/>
  <c r="EX3" i="3"/>
  <c r="EX4" i="3"/>
  <c r="EX5" i="3"/>
  <c r="EX6" i="3"/>
  <c r="EX7" i="3"/>
  <c r="EX8" i="3"/>
  <c r="EX10" i="3"/>
  <c r="EX11" i="3"/>
  <c r="EX12" i="3"/>
  <c r="EX13" i="3"/>
  <c r="EX14" i="3"/>
  <c r="EX15" i="3"/>
  <c r="EX16" i="3"/>
  <c r="EX19" i="3"/>
  <c r="EX20" i="3"/>
  <c r="EX21" i="3"/>
  <c r="EX22" i="3"/>
  <c r="EX23" i="3"/>
  <c r="EX26" i="3"/>
  <c r="EX27" i="3"/>
  <c r="EX28" i="3"/>
  <c r="EX29" i="3"/>
  <c r="EX30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C7" i="3"/>
  <c r="D7" i="3"/>
  <c r="E7" i="3"/>
  <c r="F7" i="3"/>
  <c r="G7" i="3"/>
  <c r="H7" i="3"/>
  <c r="I7" i="3"/>
  <c r="J7" i="3"/>
  <c r="K7" i="3"/>
  <c r="M7" i="3"/>
  <c r="O7" i="3"/>
  <c r="R7" i="3"/>
  <c r="T7" i="3"/>
  <c r="Z7" i="3"/>
  <c r="AB7" i="3"/>
  <c r="AK7" i="3"/>
  <c r="AM7" i="3"/>
  <c r="AN7" i="3"/>
  <c r="AO7" i="3"/>
  <c r="AP7" i="3"/>
  <c r="AQ7" i="3"/>
  <c r="AR7" i="3"/>
  <c r="AS7" i="3"/>
  <c r="AT7" i="3"/>
  <c r="AU7" i="3"/>
  <c r="AV7" i="3"/>
  <c r="AW7" i="3"/>
  <c r="C8" i="3"/>
  <c r="D8" i="3"/>
  <c r="E8" i="3"/>
  <c r="F8" i="3"/>
  <c r="G8" i="3"/>
  <c r="H8" i="3"/>
  <c r="I8" i="3"/>
  <c r="J8" i="3"/>
  <c r="K8" i="3"/>
  <c r="M8" i="3"/>
  <c r="O8" i="3"/>
  <c r="P8" i="3"/>
  <c r="R8" i="3"/>
  <c r="S8" i="3"/>
  <c r="T8" i="3"/>
  <c r="Z8" i="3"/>
  <c r="AB8" i="3"/>
  <c r="AK8" i="3"/>
  <c r="AM8" i="3"/>
  <c r="AN8" i="3"/>
  <c r="AO8" i="3"/>
  <c r="AP8" i="3"/>
  <c r="AQ8" i="3"/>
  <c r="AR8" i="3"/>
  <c r="AS8" i="3"/>
  <c r="AT8" i="3"/>
  <c r="AU8" i="3"/>
  <c r="AV8" i="3"/>
  <c r="AW8" i="3"/>
  <c r="C10" i="3"/>
  <c r="D10" i="3"/>
  <c r="E10" i="3"/>
  <c r="F10" i="3"/>
  <c r="G10" i="3"/>
  <c r="H10" i="3"/>
  <c r="I10" i="3"/>
  <c r="J10" i="3"/>
  <c r="K10" i="3"/>
  <c r="M10" i="3"/>
  <c r="S10" i="3"/>
  <c r="T10" i="3"/>
  <c r="V10" i="3"/>
  <c r="W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C13" i="3"/>
  <c r="D13" i="3"/>
  <c r="E13" i="3"/>
  <c r="F13" i="3"/>
  <c r="G13" i="3"/>
  <c r="H13" i="3"/>
  <c r="I13" i="3"/>
  <c r="J13" i="3"/>
  <c r="K13" i="3"/>
  <c r="M13" i="3"/>
  <c r="T13" i="3"/>
  <c r="W13" i="3"/>
  <c r="Y13" i="3"/>
  <c r="AB13" i="3"/>
  <c r="AF13" i="3"/>
  <c r="AG13" i="3"/>
  <c r="AH13" i="3"/>
  <c r="AI13" i="3"/>
  <c r="AJ13" i="3"/>
  <c r="AK13" i="3"/>
  <c r="AL13" i="3"/>
  <c r="AM13" i="3"/>
  <c r="AO13" i="3"/>
  <c r="AP13" i="3"/>
  <c r="AQ13" i="3"/>
  <c r="AR13" i="3"/>
  <c r="AS13" i="3"/>
  <c r="AT13" i="3"/>
  <c r="AU13" i="3"/>
  <c r="AV13" i="3"/>
  <c r="AW13" i="3"/>
  <c r="C14" i="3"/>
  <c r="D14" i="3"/>
  <c r="E14" i="3"/>
  <c r="F14" i="3"/>
  <c r="G14" i="3"/>
  <c r="H14" i="3"/>
  <c r="I14" i="3"/>
  <c r="J14" i="3"/>
  <c r="K14" i="3"/>
  <c r="M14" i="3"/>
  <c r="T14" i="3"/>
  <c r="W14" i="3"/>
  <c r="Y14" i="3"/>
  <c r="AB14" i="3"/>
  <c r="AF14" i="3"/>
  <c r="AG14" i="3"/>
  <c r="AH14" i="3"/>
  <c r="AI14" i="3"/>
  <c r="AJ14" i="3"/>
  <c r="AK14" i="3"/>
  <c r="AL14" i="3"/>
  <c r="AM14" i="3"/>
  <c r="AO14" i="3"/>
  <c r="AP14" i="3"/>
  <c r="AQ14" i="3"/>
  <c r="AR14" i="3"/>
  <c r="AS14" i="3"/>
  <c r="AT14" i="3"/>
  <c r="AU14" i="3"/>
  <c r="AV14" i="3"/>
  <c r="AW14" i="3"/>
  <c r="C15" i="3"/>
  <c r="D15" i="3"/>
  <c r="E15" i="3"/>
  <c r="F15" i="3"/>
  <c r="G15" i="3"/>
  <c r="H15" i="3"/>
  <c r="I15" i="3"/>
  <c r="J15" i="3"/>
  <c r="K15" i="3"/>
  <c r="M15" i="3"/>
  <c r="T15" i="3"/>
  <c r="W15" i="3"/>
  <c r="Y15" i="3"/>
  <c r="AB15" i="3"/>
  <c r="AF15" i="3"/>
  <c r="AG15" i="3"/>
  <c r="AH15" i="3"/>
  <c r="AI15" i="3"/>
  <c r="AJ15" i="3"/>
  <c r="AK15" i="3"/>
  <c r="AL15" i="3"/>
  <c r="AM15" i="3"/>
  <c r="AO15" i="3"/>
  <c r="AP15" i="3"/>
  <c r="AQ15" i="3"/>
  <c r="AR15" i="3"/>
  <c r="AS15" i="3"/>
  <c r="AT15" i="3"/>
  <c r="AU15" i="3"/>
  <c r="AV15" i="3"/>
  <c r="AW15" i="3"/>
  <c r="C16" i="3"/>
  <c r="D16" i="3"/>
  <c r="E16" i="3"/>
  <c r="F16" i="3"/>
  <c r="G16" i="3"/>
  <c r="H16" i="3"/>
  <c r="I16" i="3"/>
  <c r="J16" i="3"/>
  <c r="K16" i="3"/>
  <c r="M16" i="3"/>
  <c r="S16" i="3"/>
  <c r="T16" i="3"/>
  <c r="W16" i="3"/>
  <c r="Y16" i="3"/>
  <c r="AA16" i="3"/>
  <c r="AB16" i="3"/>
  <c r="AF16" i="3"/>
  <c r="AG16" i="3"/>
  <c r="AH16" i="3"/>
  <c r="AI16" i="3"/>
  <c r="AJ16" i="3"/>
  <c r="AK16" i="3"/>
  <c r="AL16" i="3"/>
  <c r="AM16" i="3"/>
  <c r="AO16" i="3"/>
  <c r="AP16" i="3"/>
  <c r="AQ16" i="3"/>
  <c r="AR16" i="3"/>
  <c r="AS16" i="3"/>
  <c r="AT16" i="3"/>
  <c r="AU16" i="3"/>
  <c r="AV16" i="3"/>
  <c r="AW16" i="3"/>
  <c r="C19" i="3"/>
  <c r="D19" i="3"/>
  <c r="E19" i="3"/>
  <c r="F19" i="3"/>
  <c r="G19" i="3"/>
  <c r="H19" i="3"/>
  <c r="I19" i="3"/>
  <c r="J19" i="3"/>
  <c r="K19" i="3"/>
  <c r="L19" i="3"/>
  <c r="M19" i="3"/>
  <c r="N19" i="3"/>
  <c r="AB19" i="3"/>
  <c r="AC19" i="3"/>
  <c r="AD19" i="3"/>
  <c r="AI19" i="3"/>
  <c r="AW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C21" i="3"/>
  <c r="D21" i="3"/>
  <c r="E21" i="3"/>
  <c r="F21" i="3"/>
  <c r="G21" i="3"/>
  <c r="H21" i="3"/>
  <c r="I21" i="3"/>
  <c r="J21" i="3"/>
  <c r="K21" i="3"/>
  <c r="L21" i="3"/>
  <c r="M21" i="3"/>
  <c r="N21" i="3"/>
  <c r="Y21" i="3"/>
  <c r="AB21" i="3"/>
  <c r="AC21" i="3"/>
  <c r="AI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S22" i="3"/>
  <c r="T22" i="3"/>
  <c r="U22" i="3"/>
  <c r="W22" i="3"/>
  <c r="Y22" i="3"/>
  <c r="Z22" i="3"/>
  <c r="AA22" i="3"/>
  <c r="AB22" i="3"/>
  <c r="AC22" i="3"/>
  <c r="AD22" i="3"/>
  <c r="AE22" i="3"/>
  <c r="AF22" i="3"/>
  <c r="AG22" i="3"/>
  <c r="AI22" i="3"/>
  <c r="AK22" i="3"/>
  <c r="AL22" i="3"/>
  <c r="AO22" i="3"/>
  <c r="AP22" i="3"/>
  <c r="AQ22" i="3"/>
  <c r="AR22" i="3"/>
  <c r="AS22" i="3"/>
  <c r="AU22" i="3"/>
  <c r="AV22" i="3"/>
  <c r="AW22" i="3"/>
  <c r="C23" i="3"/>
  <c r="D23" i="3"/>
  <c r="E23" i="3"/>
  <c r="F23" i="3"/>
  <c r="G23" i="3"/>
  <c r="H23" i="3"/>
  <c r="I23" i="3"/>
  <c r="J23" i="3"/>
  <c r="K23" i="3"/>
  <c r="L23" i="3"/>
  <c r="M23" i="3"/>
  <c r="N23" i="3"/>
  <c r="AB23" i="3"/>
  <c r="AC23" i="3"/>
  <c r="AD23" i="3"/>
  <c r="AI23" i="3"/>
  <c r="C26" i="3"/>
  <c r="D26" i="3"/>
  <c r="E26" i="3"/>
  <c r="F26" i="3"/>
  <c r="G26" i="3"/>
  <c r="H26" i="3"/>
  <c r="I26" i="3"/>
  <c r="J26" i="3"/>
  <c r="K26" i="3"/>
  <c r="L26" i="3"/>
  <c r="M26" i="3"/>
  <c r="N26" i="3"/>
  <c r="AB26" i="3"/>
  <c r="AC26" i="3"/>
  <c r="AD26" i="3"/>
  <c r="AI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B27" i="3"/>
  <c r="AC27" i="3"/>
  <c r="AD27" i="3"/>
  <c r="AE27" i="3"/>
  <c r="AF27" i="3"/>
  <c r="AG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C28" i="3"/>
  <c r="D28" i="3"/>
  <c r="E28" i="3"/>
  <c r="F28" i="3"/>
  <c r="G28" i="3"/>
  <c r="H28" i="3"/>
  <c r="I28" i="3"/>
  <c r="J28" i="3"/>
  <c r="K28" i="3"/>
  <c r="L28" i="3"/>
  <c r="M28" i="3"/>
  <c r="N28" i="3"/>
  <c r="R28" i="3"/>
  <c r="S28" i="3"/>
  <c r="T28" i="3"/>
  <c r="X28" i="3"/>
  <c r="Y28" i="3"/>
  <c r="AB28" i="3"/>
  <c r="AC28" i="3"/>
  <c r="AI28" i="3"/>
  <c r="C29" i="3"/>
  <c r="D29" i="3"/>
  <c r="E29" i="3"/>
  <c r="F29" i="3"/>
  <c r="G29" i="3"/>
  <c r="H29" i="3"/>
  <c r="I29" i="3"/>
  <c r="J29" i="3"/>
  <c r="K29" i="3"/>
  <c r="L29" i="3"/>
  <c r="M29" i="3"/>
  <c r="N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I29" i="3"/>
  <c r="AL29" i="3"/>
  <c r="AO29" i="3"/>
  <c r="AQ29" i="3"/>
  <c r="AR29" i="3"/>
  <c r="AS29" i="3"/>
  <c r="AV29" i="3"/>
  <c r="AW29" i="3"/>
  <c r="C30" i="3"/>
  <c r="D30" i="3"/>
  <c r="E30" i="3"/>
  <c r="F30" i="3"/>
  <c r="G30" i="3"/>
  <c r="H30" i="3"/>
  <c r="I30" i="3"/>
  <c r="J30" i="3"/>
  <c r="K30" i="3"/>
  <c r="L30" i="3"/>
  <c r="M30" i="3"/>
  <c r="N30" i="3"/>
  <c r="S30" i="3"/>
  <c r="T30" i="3"/>
  <c r="AB30" i="3"/>
  <c r="AC30" i="3"/>
  <c r="AI30" i="3"/>
  <c r="AX4" i="3"/>
  <c r="AX5" i="3"/>
  <c r="AX6" i="3"/>
  <c r="AX7" i="3"/>
  <c r="AX8" i="3"/>
  <c r="AX10" i="3"/>
  <c r="AX11" i="3"/>
  <c r="AX12" i="3"/>
  <c r="AX13" i="3"/>
  <c r="AX14" i="3"/>
  <c r="AX15" i="3"/>
  <c r="AX16" i="3"/>
  <c r="AX20" i="3"/>
  <c r="AX22" i="3"/>
  <c r="AX27" i="3"/>
  <c r="AX29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DC3" i="3"/>
  <c r="DD3" i="3"/>
  <c r="DE3" i="3"/>
  <c r="DF3" i="3"/>
  <c r="DG3" i="3"/>
  <c r="DH3" i="3"/>
  <c r="DI3" i="3"/>
  <c r="DJ3" i="3"/>
  <c r="DK3" i="3"/>
  <c r="DL3" i="3"/>
  <c r="DM3" i="3"/>
  <c r="DN3" i="3"/>
  <c r="DO3" i="3"/>
  <c r="DP3" i="3"/>
  <c r="DQ3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DC4" i="3"/>
  <c r="DD4" i="3"/>
  <c r="DE4" i="3"/>
  <c r="DF4" i="3"/>
  <c r="DG4" i="3"/>
  <c r="DH4" i="3"/>
  <c r="DI4" i="3"/>
  <c r="DJ4" i="3"/>
  <c r="DK4" i="3"/>
  <c r="DL4" i="3"/>
  <c r="DM4" i="3"/>
  <c r="DN4" i="3"/>
  <c r="DO4" i="3"/>
  <c r="DP4" i="3"/>
  <c r="DQ4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DC5" i="3"/>
  <c r="DD5" i="3"/>
  <c r="DE5" i="3"/>
  <c r="DF5" i="3"/>
  <c r="DG5" i="3"/>
  <c r="DH5" i="3"/>
  <c r="DI5" i="3"/>
  <c r="DJ5" i="3"/>
  <c r="DK5" i="3"/>
  <c r="DL5" i="3"/>
  <c r="DM5" i="3"/>
  <c r="DN5" i="3"/>
  <c r="DO5" i="3"/>
  <c r="DP5" i="3"/>
  <c r="DQ5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DC6" i="3"/>
  <c r="DD6" i="3"/>
  <c r="DE6" i="3"/>
  <c r="DF6" i="3"/>
  <c r="DG6" i="3"/>
  <c r="DH6" i="3"/>
  <c r="DI6" i="3"/>
  <c r="DJ6" i="3"/>
  <c r="DK6" i="3"/>
  <c r="DL6" i="3"/>
  <c r="DM6" i="3"/>
  <c r="DN6" i="3"/>
  <c r="DO6" i="3"/>
  <c r="DP6" i="3"/>
  <c r="DQ6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P7" i="3"/>
  <c r="DQ7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DC8" i="3"/>
  <c r="DD8" i="3"/>
  <c r="DE8" i="3"/>
  <c r="DF8" i="3"/>
  <c r="DG8" i="3"/>
  <c r="DH8" i="3"/>
  <c r="DI8" i="3"/>
  <c r="DJ8" i="3"/>
  <c r="DK8" i="3"/>
  <c r="DL8" i="3"/>
  <c r="DM8" i="3"/>
  <c r="DN8" i="3"/>
  <c r="DO8" i="3"/>
  <c r="DP8" i="3"/>
  <c r="DQ8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DC10" i="3"/>
  <c r="DD10" i="3"/>
  <c r="DE10" i="3"/>
  <c r="DF10" i="3"/>
  <c r="DG10" i="3"/>
  <c r="DH10" i="3"/>
  <c r="DI10" i="3"/>
  <c r="DJ10" i="3"/>
  <c r="DK10" i="3"/>
  <c r="DL10" i="3"/>
  <c r="DM10" i="3"/>
  <c r="DN10" i="3"/>
  <c r="DO10" i="3"/>
  <c r="DP10" i="3"/>
  <c r="DQ10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DC11" i="3"/>
  <c r="DD11" i="3"/>
  <c r="DE11" i="3"/>
  <c r="DF11" i="3"/>
  <c r="DG11" i="3"/>
  <c r="DH11" i="3"/>
  <c r="DI11" i="3"/>
  <c r="DJ11" i="3"/>
  <c r="DK11" i="3"/>
  <c r="DL11" i="3"/>
  <c r="DM11" i="3"/>
  <c r="DN11" i="3"/>
  <c r="DO11" i="3"/>
  <c r="DP11" i="3"/>
  <c r="DQ11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DC12" i="3"/>
  <c r="DD12" i="3"/>
  <c r="DE12" i="3"/>
  <c r="DF12" i="3"/>
  <c r="DG12" i="3"/>
  <c r="DH12" i="3"/>
  <c r="DI12" i="3"/>
  <c r="DJ12" i="3"/>
  <c r="DK12" i="3"/>
  <c r="DL12" i="3"/>
  <c r="DM12" i="3"/>
  <c r="DN12" i="3"/>
  <c r="DO12" i="3"/>
  <c r="DP12" i="3"/>
  <c r="DQ12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DC13" i="3"/>
  <c r="DD13" i="3"/>
  <c r="DE13" i="3"/>
  <c r="DF13" i="3"/>
  <c r="DG13" i="3"/>
  <c r="DH13" i="3"/>
  <c r="DI13" i="3"/>
  <c r="DJ13" i="3"/>
  <c r="DK13" i="3"/>
  <c r="DL13" i="3"/>
  <c r="DM13" i="3"/>
  <c r="DN13" i="3"/>
  <c r="DO13" i="3"/>
  <c r="DP13" i="3"/>
  <c r="DQ13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DC16" i="3"/>
  <c r="DD16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DQ16" i="3"/>
  <c r="BI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BI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AZ22" i="3"/>
  <c r="BA22" i="3"/>
  <c r="BB22" i="3"/>
  <c r="BC22" i="3"/>
  <c r="BD22" i="3"/>
  <c r="BE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BI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BI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AY27" i="3"/>
  <c r="AZ27" i="3"/>
  <c r="BA27" i="3"/>
  <c r="BB27" i="3"/>
  <c r="BC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BI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AY29" i="3"/>
  <c r="AZ29" i="3"/>
  <c r="BA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BI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4" i="3"/>
  <c r="DR5" i="3"/>
  <c r="DR6" i="3"/>
  <c r="DR7" i="3"/>
  <c r="DR8" i="3"/>
  <c r="DR10" i="3"/>
  <c r="DR11" i="3"/>
  <c r="DR12" i="3"/>
  <c r="DR13" i="3"/>
  <c r="DR14" i="3"/>
  <c r="DR15" i="3"/>
  <c r="DR16" i="3"/>
  <c r="DR19" i="3"/>
  <c r="DR20" i="3"/>
  <c r="DR21" i="3"/>
  <c r="DR22" i="3"/>
  <c r="DR23" i="3"/>
  <c r="DR26" i="3"/>
  <c r="DR27" i="3"/>
  <c r="DR28" i="3"/>
  <c r="DR29" i="3"/>
  <c r="DR30" i="3"/>
  <c r="DR3" i="3"/>
  <c r="DS3" i="3"/>
  <c r="DT3" i="3"/>
  <c r="DU3" i="3"/>
  <c r="DV3" i="3"/>
  <c r="DW3" i="3"/>
  <c r="DX3" i="3"/>
  <c r="DY3" i="3"/>
  <c r="DZ3" i="3"/>
  <c r="EA3" i="3"/>
  <c r="EB3" i="3"/>
  <c r="EC3" i="3"/>
  <c r="ED3" i="3"/>
  <c r="EE3" i="3"/>
  <c r="EF3" i="3"/>
  <c r="EG3" i="3"/>
  <c r="EH3" i="3"/>
  <c r="EI3" i="3"/>
  <c r="EJ3" i="3"/>
  <c r="EK3" i="3"/>
  <c r="EL3" i="3"/>
  <c r="EM3" i="3"/>
  <c r="EN3" i="3"/>
  <c r="EO3" i="3"/>
  <c r="EP3" i="3"/>
  <c r="DS4" i="3"/>
  <c r="DT4" i="3"/>
  <c r="DU4" i="3"/>
  <c r="DV4" i="3"/>
  <c r="DW4" i="3"/>
  <c r="DX4" i="3"/>
  <c r="DY4" i="3"/>
  <c r="DZ4" i="3"/>
  <c r="EA4" i="3"/>
  <c r="EB4" i="3"/>
  <c r="EC4" i="3"/>
  <c r="ED4" i="3"/>
  <c r="EE4" i="3"/>
  <c r="EF4" i="3"/>
  <c r="EG4" i="3"/>
  <c r="EH4" i="3"/>
  <c r="EI4" i="3"/>
  <c r="EJ4" i="3"/>
  <c r="EK4" i="3"/>
  <c r="EL4" i="3"/>
  <c r="EM4" i="3"/>
  <c r="EN4" i="3"/>
  <c r="EO4" i="3"/>
  <c r="EP4" i="3"/>
  <c r="DS5" i="3"/>
  <c r="DT5" i="3"/>
  <c r="DU5" i="3"/>
  <c r="DV5" i="3"/>
  <c r="DW5" i="3"/>
  <c r="DX5" i="3"/>
  <c r="DY5" i="3"/>
  <c r="DZ5" i="3"/>
  <c r="EA5" i="3"/>
  <c r="EB5" i="3"/>
  <c r="EC5" i="3"/>
  <c r="ED5" i="3"/>
  <c r="EE5" i="3"/>
  <c r="EF5" i="3"/>
  <c r="EG5" i="3"/>
  <c r="EH5" i="3"/>
  <c r="EI5" i="3"/>
  <c r="EJ5" i="3"/>
  <c r="EK5" i="3"/>
  <c r="EL5" i="3"/>
  <c r="EM5" i="3"/>
  <c r="EN5" i="3"/>
  <c r="EO5" i="3"/>
  <c r="EP5" i="3"/>
  <c r="DS6" i="3"/>
  <c r="DT6" i="3"/>
  <c r="DU6" i="3"/>
  <c r="DV6" i="3"/>
  <c r="DW6" i="3"/>
  <c r="DX6" i="3"/>
  <c r="DY6" i="3"/>
  <c r="DZ6" i="3"/>
  <c r="EA6" i="3"/>
  <c r="EB6" i="3"/>
  <c r="EC6" i="3"/>
  <c r="ED6" i="3"/>
  <c r="EE6" i="3"/>
  <c r="EF6" i="3"/>
  <c r="EG6" i="3"/>
  <c r="EH6" i="3"/>
  <c r="EI6" i="3"/>
  <c r="EJ6" i="3"/>
  <c r="EK6" i="3"/>
  <c r="EL6" i="3"/>
  <c r="EM6" i="3"/>
  <c r="EN6" i="3"/>
  <c r="EO6" i="3"/>
  <c r="EP6" i="3"/>
  <c r="DS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EP7" i="3"/>
  <c r="DS8" i="3"/>
  <c r="DT8" i="3"/>
  <c r="DU8" i="3"/>
  <c r="DV8" i="3"/>
  <c r="DW8" i="3"/>
  <c r="DX8" i="3"/>
  <c r="DY8" i="3"/>
  <c r="DZ8" i="3"/>
  <c r="EA8" i="3"/>
  <c r="EB8" i="3"/>
  <c r="EC8" i="3"/>
  <c r="ED8" i="3"/>
  <c r="EE8" i="3"/>
  <c r="EF8" i="3"/>
  <c r="EG8" i="3"/>
  <c r="EH8" i="3"/>
  <c r="EI8" i="3"/>
  <c r="EJ8" i="3"/>
  <c r="EK8" i="3"/>
  <c r="EL8" i="3"/>
  <c r="EM8" i="3"/>
  <c r="EN8" i="3"/>
  <c r="EO8" i="3"/>
  <c r="EP8" i="3"/>
  <c r="DS10" i="3"/>
  <c r="DT10" i="3"/>
  <c r="DU10" i="3"/>
  <c r="DV10" i="3"/>
  <c r="DW10" i="3"/>
  <c r="DX10" i="3"/>
  <c r="DY10" i="3"/>
  <c r="DZ10" i="3"/>
  <c r="EA10" i="3"/>
  <c r="EB10" i="3"/>
  <c r="EC10" i="3"/>
  <c r="ED10" i="3"/>
  <c r="EE10" i="3"/>
  <c r="EF10" i="3"/>
  <c r="EG10" i="3"/>
  <c r="EH10" i="3"/>
  <c r="EI10" i="3"/>
  <c r="EJ10" i="3"/>
  <c r="EK10" i="3"/>
  <c r="EL10" i="3"/>
  <c r="EM10" i="3"/>
  <c r="EN10" i="3"/>
  <c r="EO10" i="3"/>
  <c r="EP10" i="3"/>
  <c r="DS11" i="3"/>
  <c r="DT11" i="3"/>
  <c r="DU11" i="3"/>
  <c r="DV11" i="3"/>
  <c r="DW11" i="3"/>
  <c r="DX11" i="3"/>
  <c r="DY11" i="3"/>
  <c r="DZ11" i="3"/>
  <c r="EA11" i="3"/>
  <c r="EB11" i="3"/>
  <c r="EC11" i="3"/>
  <c r="ED11" i="3"/>
  <c r="EE11" i="3"/>
  <c r="EF11" i="3"/>
  <c r="EG11" i="3"/>
  <c r="EH11" i="3"/>
  <c r="EI11" i="3"/>
  <c r="EJ11" i="3"/>
  <c r="EK11" i="3"/>
  <c r="EL11" i="3"/>
  <c r="EM11" i="3"/>
  <c r="EN11" i="3"/>
  <c r="EO11" i="3"/>
  <c r="EP11" i="3"/>
  <c r="DS12" i="3"/>
  <c r="DT12" i="3"/>
  <c r="DU12" i="3"/>
  <c r="DV12" i="3"/>
  <c r="DW12" i="3"/>
  <c r="DX12" i="3"/>
  <c r="DY12" i="3"/>
  <c r="DZ12" i="3"/>
  <c r="EA12" i="3"/>
  <c r="EB12" i="3"/>
  <c r="EC12" i="3"/>
  <c r="ED12" i="3"/>
  <c r="EE12" i="3"/>
  <c r="EF12" i="3"/>
  <c r="EG12" i="3"/>
  <c r="EH12" i="3"/>
  <c r="EI12" i="3"/>
  <c r="EJ12" i="3"/>
  <c r="EK12" i="3"/>
  <c r="EL12" i="3"/>
  <c r="EM12" i="3"/>
  <c r="EN12" i="3"/>
  <c r="EO12" i="3"/>
  <c r="EP12" i="3"/>
  <c r="DS13" i="3"/>
  <c r="DT13" i="3"/>
  <c r="DU13" i="3"/>
  <c r="DV13" i="3"/>
  <c r="DW13" i="3"/>
  <c r="DX13" i="3"/>
  <c r="DY13" i="3"/>
  <c r="DZ13" i="3"/>
  <c r="EA13" i="3"/>
  <c r="EB13" i="3"/>
  <c r="EC13" i="3"/>
  <c r="ED13" i="3"/>
  <c r="EE13" i="3"/>
  <c r="EF13" i="3"/>
  <c r="EG13" i="3"/>
  <c r="EH13" i="3"/>
  <c r="EI13" i="3"/>
  <c r="EJ13" i="3"/>
  <c r="EK13" i="3"/>
  <c r="EL13" i="3"/>
  <c r="EM13" i="3"/>
  <c r="EN13" i="3"/>
  <c r="EO13" i="3"/>
  <c r="EP13" i="3"/>
  <c r="DS14" i="3"/>
  <c r="DT14" i="3"/>
  <c r="DU14" i="3"/>
  <c r="DV14" i="3"/>
  <c r="DW14" i="3"/>
  <c r="DX14" i="3"/>
  <c r="DY14" i="3"/>
  <c r="DZ14" i="3"/>
  <c r="EA14" i="3"/>
  <c r="EB14" i="3"/>
  <c r="EC14" i="3"/>
  <c r="ED14" i="3"/>
  <c r="EE14" i="3"/>
  <c r="EF14" i="3"/>
  <c r="EG14" i="3"/>
  <c r="EH14" i="3"/>
  <c r="EI14" i="3"/>
  <c r="EJ14" i="3"/>
  <c r="EK14" i="3"/>
  <c r="EL14" i="3"/>
  <c r="EM14" i="3"/>
  <c r="EN14" i="3"/>
  <c r="EO14" i="3"/>
  <c r="EP14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DS16" i="3"/>
  <c r="DT16" i="3"/>
  <c r="DU16" i="3"/>
  <c r="DV16" i="3"/>
  <c r="DW16" i="3"/>
  <c r="DX16" i="3"/>
  <c r="DY16" i="3"/>
  <c r="DZ16" i="3"/>
  <c r="EA16" i="3"/>
  <c r="EB16" i="3"/>
  <c r="EC16" i="3"/>
  <c r="ED16" i="3"/>
  <c r="EE16" i="3"/>
  <c r="EF16" i="3"/>
  <c r="EG16" i="3"/>
  <c r="EH16" i="3"/>
  <c r="EI16" i="3"/>
  <c r="EJ16" i="3"/>
  <c r="EK16" i="3"/>
  <c r="EL16" i="3"/>
  <c r="EM16" i="3"/>
  <c r="EN16" i="3"/>
  <c r="EO16" i="3"/>
  <c r="EP16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EG21" i="3"/>
  <c r="EH21" i="3"/>
  <c r="EI21" i="3"/>
  <c r="EJ21" i="3"/>
  <c r="EK21" i="3"/>
  <c r="EL21" i="3"/>
  <c r="EM21" i="3"/>
  <c r="EN21" i="3"/>
  <c r="EO21" i="3"/>
  <c r="EP21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EG26" i="3"/>
  <c r="EH26" i="3"/>
  <c r="EI26" i="3"/>
  <c r="EJ26" i="3"/>
  <c r="EK26" i="3"/>
  <c r="EL26" i="3"/>
  <c r="EM26" i="3"/>
  <c r="EN26" i="3"/>
  <c r="EO26" i="3"/>
  <c r="EP26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H27" i="3"/>
  <c r="EI27" i="3"/>
  <c r="EJ27" i="3"/>
  <c r="EK27" i="3"/>
  <c r="EL27" i="3"/>
  <c r="EM27" i="3"/>
  <c r="EN27" i="3"/>
  <c r="EO27" i="3"/>
  <c r="EP27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DS29" i="3"/>
  <c r="DT29" i="3"/>
  <c r="DU29" i="3"/>
  <c r="DV29" i="3"/>
  <c r="DW29" i="3"/>
  <c r="DX29" i="3"/>
  <c r="DY29" i="3"/>
  <c r="DZ29" i="3"/>
  <c r="EA29" i="3"/>
  <c r="EB29" i="3"/>
  <c r="EC29" i="3"/>
  <c r="ED29" i="3"/>
  <c r="EE29" i="3"/>
  <c r="EF29" i="3"/>
  <c r="EG29" i="3"/>
  <c r="EH29" i="3"/>
  <c r="EI29" i="3"/>
  <c r="EJ29" i="3"/>
  <c r="EK29" i="3"/>
  <c r="EL29" i="3"/>
  <c r="EM29" i="3"/>
  <c r="EN29" i="3"/>
  <c r="EO29" i="3"/>
  <c r="EP29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R3" i="3"/>
  <c r="ES3" i="3"/>
  <c r="ET3" i="3"/>
  <c r="EU3" i="3"/>
  <c r="EV3" i="3"/>
  <c r="EW3" i="3"/>
  <c r="ER4" i="3"/>
  <c r="ES4" i="3"/>
  <c r="ET4" i="3"/>
  <c r="EU4" i="3"/>
  <c r="EV4" i="3"/>
  <c r="EW4" i="3"/>
  <c r="ER5" i="3"/>
  <c r="ES5" i="3"/>
  <c r="ET5" i="3"/>
  <c r="EU5" i="3"/>
  <c r="EV5" i="3"/>
  <c r="EW5" i="3"/>
  <c r="ER6" i="3"/>
  <c r="ES6" i="3"/>
  <c r="ET6" i="3"/>
  <c r="EU6" i="3"/>
  <c r="EV6" i="3"/>
  <c r="EW6" i="3"/>
  <c r="ER7" i="3"/>
  <c r="ES7" i="3"/>
  <c r="ET7" i="3"/>
  <c r="EU7" i="3"/>
  <c r="EV7" i="3"/>
  <c r="EW7" i="3"/>
  <c r="ER8" i="3"/>
  <c r="ES8" i="3"/>
  <c r="ET8" i="3"/>
  <c r="EU8" i="3"/>
  <c r="EV8" i="3"/>
  <c r="EW8" i="3"/>
  <c r="ER10" i="3"/>
  <c r="ES10" i="3"/>
  <c r="ET10" i="3"/>
  <c r="EU10" i="3"/>
  <c r="EV10" i="3"/>
  <c r="EW10" i="3"/>
  <c r="ER11" i="3"/>
  <c r="ES11" i="3"/>
  <c r="ET11" i="3"/>
  <c r="EU11" i="3"/>
  <c r="EV11" i="3"/>
  <c r="EW11" i="3"/>
  <c r="ER12" i="3"/>
  <c r="ES12" i="3"/>
  <c r="ET12" i="3"/>
  <c r="EU12" i="3"/>
  <c r="EV12" i="3"/>
  <c r="EW12" i="3"/>
  <c r="ER13" i="3"/>
  <c r="ES13" i="3"/>
  <c r="ET13" i="3"/>
  <c r="EU13" i="3"/>
  <c r="EV13" i="3"/>
  <c r="EW13" i="3"/>
  <c r="ER14" i="3"/>
  <c r="ES14" i="3"/>
  <c r="ET14" i="3"/>
  <c r="EU14" i="3"/>
  <c r="EV14" i="3"/>
  <c r="EW14" i="3"/>
  <c r="ER15" i="3"/>
  <c r="ES15" i="3"/>
  <c r="ET15" i="3"/>
  <c r="EU15" i="3"/>
  <c r="EV15" i="3"/>
  <c r="EW15" i="3"/>
  <c r="ER16" i="3"/>
  <c r="ES16" i="3"/>
  <c r="ET16" i="3"/>
  <c r="EU16" i="3"/>
  <c r="EV16" i="3"/>
  <c r="EW16" i="3"/>
  <c r="ER19" i="3"/>
  <c r="ES19" i="3"/>
  <c r="ET19" i="3"/>
  <c r="EU19" i="3"/>
  <c r="EV19" i="3"/>
  <c r="EW19" i="3"/>
  <c r="ER20" i="3"/>
  <c r="ES20" i="3"/>
  <c r="ET20" i="3"/>
  <c r="EU20" i="3"/>
  <c r="EV20" i="3"/>
  <c r="EW20" i="3"/>
  <c r="ER21" i="3"/>
  <c r="ES21" i="3"/>
  <c r="ET21" i="3"/>
  <c r="EU21" i="3"/>
  <c r="EV21" i="3"/>
  <c r="EW21" i="3"/>
  <c r="ER22" i="3"/>
  <c r="ES22" i="3"/>
  <c r="ET22" i="3"/>
  <c r="EU22" i="3"/>
  <c r="EV22" i="3"/>
  <c r="EW22" i="3"/>
  <c r="ER23" i="3"/>
  <c r="ES23" i="3"/>
  <c r="ET23" i="3"/>
  <c r="EU23" i="3"/>
  <c r="EV23" i="3"/>
  <c r="EW23" i="3"/>
  <c r="ER26" i="3"/>
  <c r="ES26" i="3"/>
  <c r="ET26" i="3"/>
  <c r="EU26" i="3"/>
  <c r="EV26" i="3"/>
  <c r="EW26" i="3"/>
  <c r="ER27" i="3"/>
  <c r="ES27" i="3"/>
  <c r="ET27" i="3"/>
  <c r="EU27" i="3"/>
  <c r="EV27" i="3"/>
  <c r="EW27" i="3"/>
  <c r="ER28" i="3"/>
  <c r="ES28" i="3"/>
  <c r="ET28" i="3"/>
  <c r="EU28" i="3"/>
  <c r="EV28" i="3"/>
  <c r="EW28" i="3"/>
  <c r="ER29" i="3"/>
  <c r="ES29" i="3"/>
  <c r="ET29" i="3"/>
  <c r="EU29" i="3"/>
  <c r="EV29" i="3"/>
  <c r="EW29" i="3"/>
  <c r="ER30" i="3"/>
  <c r="ES30" i="3"/>
  <c r="ET30" i="3"/>
  <c r="EU30" i="3"/>
  <c r="EV30" i="3"/>
  <c r="EW30" i="3"/>
  <c r="EQ5" i="3"/>
  <c r="EQ6" i="3"/>
  <c r="EQ7" i="3"/>
  <c r="EQ8" i="3"/>
  <c r="EQ10" i="3"/>
  <c r="EQ11" i="3"/>
  <c r="EQ12" i="3"/>
  <c r="EQ13" i="3"/>
  <c r="EQ14" i="3"/>
  <c r="EQ15" i="3"/>
  <c r="EQ16" i="3"/>
  <c r="EQ19" i="3"/>
  <c r="EQ20" i="3"/>
  <c r="EQ21" i="3"/>
  <c r="EQ22" i="3"/>
  <c r="EQ23" i="3"/>
  <c r="EQ26" i="3"/>
  <c r="EQ27" i="3"/>
  <c r="EQ28" i="3"/>
  <c r="EQ29" i="3"/>
  <c r="EQ30" i="3"/>
  <c r="EQ4" i="3"/>
  <c r="EQ3" i="3"/>
  <c r="C5" i="2"/>
  <c r="E5" i="2"/>
  <c r="F5" i="2"/>
  <c r="G5" i="2"/>
  <c r="H5" i="2"/>
  <c r="I5" i="2"/>
  <c r="J5" i="2"/>
  <c r="K5" i="2"/>
  <c r="L5" i="2"/>
  <c r="M5" i="2"/>
  <c r="N5" i="2"/>
  <c r="C6" i="2"/>
  <c r="E6" i="2"/>
  <c r="F6" i="2"/>
  <c r="G6" i="2"/>
  <c r="H6" i="2"/>
  <c r="I6" i="2"/>
  <c r="J6" i="2"/>
  <c r="K6" i="2"/>
  <c r="L6" i="2"/>
  <c r="M6" i="2"/>
  <c r="N6" i="2"/>
  <c r="F7" i="2"/>
  <c r="G7" i="2"/>
  <c r="H7" i="2"/>
  <c r="I7" i="2"/>
  <c r="J7" i="2"/>
  <c r="K7" i="2"/>
  <c r="L7" i="2"/>
  <c r="M7" i="2"/>
  <c r="N7" i="2"/>
  <c r="F8" i="2"/>
  <c r="G8" i="2"/>
  <c r="H8" i="2"/>
  <c r="I8" i="2"/>
  <c r="J8" i="2"/>
  <c r="K8" i="2"/>
  <c r="L8" i="2"/>
  <c r="M8" i="2"/>
  <c r="N8" i="2"/>
  <c r="E10" i="2"/>
  <c r="F10" i="2"/>
  <c r="G10" i="2"/>
  <c r="H10" i="2"/>
  <c r="I10" i="2"/>
  <c r="J10" i="2"/>
  <c r="K10" i="2"/>
  <c r="L10" i="2"/>
  <c r="M10" i="2"/>
  <c r="N10" i="2"/>
  <c r="C11" i="2"/>
  <c r="D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E13" i="2"/>
  <c r="G13" i="2"/>
  <c r="H13" i="2"/>
  <c r="I13" i="2"/>
  <c r="J13" i="2"/>
  <c r="K13" i="2"/>
  <c r="L13" i="2"/>
  <c r="M13" i="2"/>
  <c r="N13" i="2"/>
  <c r="E14" i="2"/>
  <c r="G14" i="2"/>
  <c r="H14" i="2"/>
  <c r="I14" i="2"/>
  <c r="J14" i="2"/>
  <c r="K14" i="2"/>
  <c r="L14" i="2"/>
  <c r="M14" i="2"/>
  <c r="N14" i="2"/>
  <c r="E15" i="2"/>
  <c r="G15" i="2"/>
  <c r="H15" i="2"/>
  <c r="I15" i="2"/>
  <c r="J15" i="2"/>
  <c r="K15" i="2"/>
  <c r="L15" i="2"/>
  <c r="M15" i="2"/>
  <c r="N15" i="2"/>
  <c r="E16" i="2"/>
  <c r="G16" i="2"/>
  <c r="H16" i="2"/>
  <c r="I16" i="2"/>
  <c r="J16" i="2"/>
  <c r="K16" i="2"/>
  <c r="L16" i="2"/>
  <c r="M16" i="2"/>
  <c r="N16" i="2"/>
  <c r="C19" i="2"/>
  <c r="I19" i="2"/>
  <c r="J19" i="2"/>
  <c r="K19" i="2"/>
  <c r="L19" i="2"/>
  <c r="M19" i="2"/>
  <c r="N19" i="2"/>
  <c r="C20" i="2"/>
  <c r="D20" i="2"/>
  <c r="E20" i="2"/>
  <c r="F20" i="2"/>
  <c r="G20" i="2"/>
  <c r="H20" i="2"/>
  <c r="I20" i="2"/>
  <c r="J20" i="2"/>
  <c r="K20" i="2"/>
  <c r="L20" i="2"/>
  <c r="M20" i="2"/>
  <c r="N20" i="2"/>
  <c r="C21" i="2"/>
  <c r="I21" i="2"/>
  <c r="J21" i="2"/>
  <c r="K21" i="2"/>
  <c r="L21" i="2"/>
  <c r="M21" i="2"/>
  <c r="N21" i="2"/>
  <c r="C22" i="2"/>
  <c r="H22" i="2"/>
  <c r="I22" i="2"/>
  <c r="J22" i="2"/>
  <c r="K22" i="2"/>
  <c r="L22" i="2"/>
  <c r="M22" i="2"/>
  <c r="N22" i="2"/>
  <c r="C23" i="2"/>
  <c r="I23" i="2"/>
  <c r="J23" i="2"/>
  <c r="K23" i="2"/>
  <c r="L23" i="2"/>
  <c r="M23" i="2"/>
  <c r="N23" i="2"/>
  <c r="C26" i="2"/>
  <c r="I26" i="2"/>
  <c r="J26" i="2"/>
  <c r="K26" i="2"/>
  <c r="L26" i="2"/>
  <c r="M26" i="2"/>
  <c r="N26" i="2"/>
  <c r="C27" i="2"/>
  <c r="D27" i="2"/>
  <c r="F27" i="2"/>
  <c r="H27" i="2"/>
  <c r="I27" i="2"/>
  <c r="J27" i="2"/>
  <c r="K27" i="2"/>
  <c r="L27" i="2"/>
  <c r="M27" i="2"/>
  <c r="N27" i="2"/>
  <c r="C28" i="2"/>
  <c r="I28" i="2"/>
  <c r="J28" i="2"/>
  <c r="K28" i="2"/>
  <c r="L28" i="2"/>
  <c r="M28" i="2"/>
  <c r="N28" i="2"/>
  <c r="C29" i="2"/>
  <c r="H29" i="2"/>
  <c r="I29" i="2"/>
  <c r="J29" i="2"/>
  <c r="K29" i="2"/>
  <c r="L29" i="2"/>
  <c r="M29" i="2"/>
  <c r="N29" i="2"/>
  <c r="C30" i="2"/>
  <c r="I30" i="2"/>
  <c r="J30" i="2"/>
  <c r="K30" i="2"/>
  <c r="L30" i="2"/>
  <c r="M30" i="2"/>
  <c r="N30" i="2"/>
  <c r="C33" i="2"/>
  <c r="D33" i="2"/>
  <c r="E33" i="2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I34" i="2"/>
  <c r="J34" i="2"/>
  <c r="K34" i="2"/>
  <c r="L34" i="2"/>
  <c r="M34" i="2"/>
  <c r="N34" i="2"/>
  <c r="C35" i="2"/>
  <c r="I35" i="2"/>
  <c r="J35" i="2"/>
  <c r="L35" i="2"/>
  <c r="M35" i="2"/>
  <c r="N35" i="2"/>
  <c r="C36" i="2"/>
  <c r="D36" i="2"/>
  <c r="E36" i="2"/>
  <c r="F36" i="2"/>
  <c r="G36" i="2"/>
  <c r="H36" i="2"/>
  <c r="I36" i="2"/>
  <c r="J36" i="2"/>
  <c r="K36" i="2"/>
  <c r="L36" i="2"/>
  <c r="M36" i="2"/>
  <c r="N36" i="2"/>
  <c r="C38" i="2"/>
  <c r="E38" i="2"/>
  <c r="F38" i="2"/>
  <c r="G38" i="2"/>
  <c r="H38" i="2"/>
  <c r="I38" i="2"/>
  <c r="J38" i="2"/>
  <c r="K38" i="2"/>
  <c r="L38" i="2"/>
  <c r="M38" i="2"/>
  <c r="N38" i="2"/>
  <c r="C39" i="2"/>
  <c r="E39" i="2"/>
  <c r="F39" i="2"/>
  <c r="G39" i="2"/>
  <c r="H39" i="2"/>
  <c r="I39" i="2"/>
  <c r="J39" i="2"/>
  <c r="K39" i="2"/>
  <c r="L39" i="2"/>
  <c r="M39" i="2"/>
  <c r="N39" i="2"/>
  <c r="C40" i="2"/>
  <c r="E40" i="2"/>
  <c r="F40" i="2"/>
  <c r="G40" i="2"/>
  <c r="H40" i="2"/>
  <c r="I40" i="2"/>
  <c r="J40" i="2"/>
  <c r="K40" i="2"/>
  <c r="L40" i="2"/>
  <c r="M40" i="2"/>
  <c r="N40" i="2"/>
  <c r="C41" i="2"/>
  <c r="G41" i="2"/>
  <c r="H41" i="2"/>
  <c r="I41" i="2"/>
  <c r="J41" i="2"/>
  <c r="K41" i="2"/>
  <c r="L41" i="2"/>
  <c r="M41" i="2"/>
  <c r="N41" i="2"/>
  <c r="C42" i="2"/>
  <c r="E42" i="2"/>
  <c r="F42" i="2"/>
  <c r="G42" i="2"/>
  <c r="H42" i="2"/>
  <c r="I42" i="2"/>
  <c r="J42" i="2"/>
  <c r="K42" i="2"/>
  <c r="L42" i="2"/>
  <c r="M42" i="2"/>
  <c r="N42" i="2"/>
  <c r="H44" i="2"/>
  <c r="I44" i="2"/>
  <c r="J44" i="2"/>
  <c r="K44" i="2"/>
  <c r="L44" i="2"/>
  <c r="M44" i="2"/>
  <c r="N44" i="2"/>
  <c r="E47" i="2"/>
  <c r="F47" i="2"/>
  <c r="G47" i="2"/>
  <c r="H47" i="2"/>
  <c r="I47" i="2"/>
  <c r="J47" i="2"/>
  <c r="K47" i="2"/>
  <c r="L47" i="2"/>
  <c r="M47" i="2"/>
  <c r="N47" i="2"/>
  <c r="E48" i="2"/>
  <c r="F48" i="2"/>
  <c r="G48" i="2"/>
  <c r="H48" i="2"/>
  <c r="I48" i="2"/>
  <c r="J48" i="2"/>
  <c r="K48" i="2"/>
  <c r="L48" i="2"/>
  <c r="M48" i="2"/>
  <c r="N48" i="2"/>
  <c r="E49" i="2"/>
  <c r="F49" i="2"/>
  <c r="G49" i="2"/>
  <c r="H49" i="2"/>
  <c r="I49" i="2"/>
  <c r="J49" i="2"/>
  <c r="K49" i="2"/>
  <c r="L49" i="2"/>
  <c r="M49" i="2"/>
  <c r="N49" i="2"/>
  <c r="E50" i="2"/>
  <c r="F50" i="2"/>
  <c r="G50" i="2"/>
  <c r="H50" i="2"/>
  <c r="I50" i="2"/>
  <c r="J50" i="2"/>
  <c r="K50" i="2"/>
  <c r="L50" i="2"/>
  <c r="M50" i="2"/>
  <c r="N50" i="2"/>
  <c r="E51" i="2"/>
  <c r="F51" i="2"/>
  <c r="G51" i="2"/>
  <c r="H51" i="2"/>
  <c r="I51" i="2"/>
  <c r="J51" i="2"/>
  <c r="K51" i="2"/>
  <c r="L51" i="2"/>
  <c r="M51" i="2"/>
  <c r="N51" i="2"/>
  <c r="C54" i="2"/>
  <c r="D54" i="2"/>
  <c r="E54" i="2"/>
  <c r="F54" i="2"/>
  <c r="G54" i="2"/>
  <c r="H54" i="2"/>
  <c r="I54" i="2"/>
  <c r="J54" i="2"/>
  <c r="K54" i="2"/>
  <c r="L54" i="2"/>
  <c r="M54" i="2"/>
  <c r="N54" i="2"/>
  <c r="C55" i="2"/>
  <c r="D55" i="2"/>
  <c r="E55" i="2"/>
  <c r="F55" i="2"/>
  <c r="G55" i="2"/>
  <c r="H55" i="2"/>
  <c r="I55" i="2"/>
  <c r="J55" i="2"/>
  <c r="K55" i="2"/>
  <c r="L55" i="2"/>
  <c r="M55" i="2"/>
  <c r="N55" i="2"/>
  <c r="C58" i="2"/>
  <c r="D58" i="2"/>
  <c r="E58" i="2"/>
  <c r="F58" i="2"/>
  <c r="G58" i="2"/>
  <c r="H58" i="2"/>
  <c r="I58" i="2"/>
  <c r="J58" i="2"/>
  <c r="K58" i="2"/>
  <c r="L58" i="2"/>
  <c r="M58" i="2"/>
  <c r="N58" i="2"/>
  <c r="C59" i="2"/>
  <c r="D59" i="2"/>
  <c r="E59" i="2"/>
  <c r="F59" i="2"/>
  <c r="G59" i="2"/>
  <c r="H59" i="2"/>
  <c r="I59" i="2"/>
  <c r="J59" i="2"/>
  <c r="K59" i="2"/>
  <c r="L59" i="2"/>
  <c r="M59" i="2"/>
  <c r="N59" i="2"/>
  <c r="C60" i="2"/>
  <c r="D60" i="2"/>
  <c r="E60" i="2"/>
  <c r="F60" i="2"/>
  <c r="G60" i="2"/>
  <c r="H60" i="2"/>
  <c r="I60" i="2"/>
  <c r="J60" i="2"/>
  <c r="K60" i="2"/>
  <c r="L60" i="2"/>
  <c r="M60" i="2"/>
  <c r="N60" i="2"/>
  <c r="L62" i="2"/>
  <c r="M62" i="2"/>
  <c r="N62" i="2"/>
  <c r="L63" i="2"/>
  <c r="M63" i="2"/>
  <c r="N63" i="2"/>
  <c r="L64" i="2"/>
  <c r="M64" i="2"/>
  <c r="N64" i="2"/>
  <c r="C3" i="2"/>
  <c r="D3" i="2"/>
  <c r="E3" i="2"/>
  <c r="F3" i="2"/>
  <c r="G3" i="2"/>
  <c r="H3" i="2"/>
  <c r="I3" i="2"/>
  <c r="J3" i="2"/>
  <c r="K3" i="2"/>
  <c r="L3" i="2"/>
  <c r="M3" i="2"/>
  <c r="N3" i="2"/>
  <c r="C4" i="2"/>
  <c r="D4" i="2"/>
  <c r="E4" i="2"/>
  <c r="N4" i="2"/>
  <c r="M4" i="2"/>
  <c r="L4" i="2"/>
  <c r="K4" i="2"/>
  <c r="J4" i="2"/>
  <c r="I4" i="2"/>
  <c r="H4" i="2"/>
  <c r="G4" i="2"/>
  <c r="F4" i="2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D43" i="1"/>
  <c r="U43" i="1"/>
  <c r="D42" i="2" s="1"/>
  <c r="AM42" i="1"/>
  <c r="F41" i="2" s="1"/>
  <c r="AL42" i="1"/>
  <c r="E41" i="2" s="1"/>
  <c r="AE42" i="1"/>
  <c r="Z42" i="1"/>
  <c r="Y42" i="1"/>
  <c r="X42" i="1"/>
  <c r="W42" i="1"/>
  <c r="V42" i="1"/>
  <c r="U42" i="1"/>
  <c r="T42" i="1"/>
  <c r="S42" i="1"/>
  <c r="R42" i="1"/>
  <c r="Q42" i="1"/>
  <c r="AC41" i="1"/>
  <c r="Y41" i="1"/>
  <c r="T41" i="1"/>
  <c r="R41" i="1"/>
  <c r="AC40" i="1"/>
  <c r="Y40" i="1"/>
  <c r="T40" i="1"/>
  <c r="R40" i="1"/>
  <c r="AC39" i="1"/>
  <c r="Y39" i="1"/>
  <c r="T39" i="1"/>
  <c r="R39" i="1"/>
  <c r="DA35" i="1"/>
  <c r="CY35" i="1"/>
  <c r="CX35" i="1"/>
  <c r="CW35" i="1"/>
  <c r="CV35" i="1"/>
  <c r="BT35" i="1"/>
  <c r="BO35" i="1"/>
  <c r="BN35" i="1"/>
  <c r="BM35" i="1"/>
  <c r="BL35" i="1"/>
  <c r="BK35" i="1"/>
  <c r="BJ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Z35" i="1"/>
  <c r="Y35" i="1"/>
  <c r="X35" i="1"/>
  <c r="W35" i="1"/>
  <c r="V35" i="1"/>
  <c r="U35" i="1"/>
  <c r="T35" i="1"/>
  <c r="S35" i="1"/>
  <c r="R35" i="1"/>
  <c r="Q35" i="1"/>
  <c r="P35" i="1"/>
  <c r="BO30" i="1"/>
  <c r="BO30" i="3" s="1"/>
  <c r="BN30" i="1"/>
  <c r="BN30" i="3" s="1"/>
  <c r="BM30" i="1"/>
  <c r="BM30" i="3" s="1"/>
  <c r="BL30" i="1"/>
  <c r="BL30" i="3" s="1"/>
  <c r="BK30" i="1"/>
  <c r="BK30" i="3" s="1"/>
  <c r="BJ30" i="1"/>
  <c r="BJ30" i="3" s="1"/>
  <c r="BH30" i="1"/>
  <c r="BH30" i="3" s="1"/>
  <c r="BG30" i="1"/>
  <c r="BG30" i="3" s="1"/>
  <c r="BF30" i="1"/>
  <c r="BF30" i="3" s="1"/>
  <c r="BE30" i="1"/>
  <c r="BE30" i="3" s="1"/>
  <c r="BD30" i="1"/>
  <c r="BD30" i="3" s="1"/>
  <c r="BC30" i="1"/>
  <c r="BC30" i="3" s="1"/>
  <c r="BB30" i="1"/>
  <c r="BB30" i="3" s="1"/>
  <c r="BA30" i="1"/>
  <c r="BA30" i="3" s="1"/>
  <c r="AZ30" i="1"/>
  <c r="AZ30" i="3" s="1"/>
  <c r="AY30" i="1"/>
  <c r="AY30" i="3" s="1"/>
  <c r="AX30" i="1"/>
  <c r="AX30" i="3" s="1"/>
  <c r="AW30" i="1"/>
  <c r="AW30" i="3" s="1"/>
  <c r="AV30" i="1"/>
  <c r="AV30" i="3" s="1"/>
  <c r="AU30" i="1"/>
  <c r="AU30" i="3" s="1"/>
  <c r="AT30" i="1"/>
  <c r="AT30" i="3" s="1"/>
  <c r="AS30" i="1"/>
  <c r="AS30" i="3" s="1"/>
  <c r="AR30" i="1"/>
  <c r="AR30" i="3" s="1"/>
  <c r="AQ30" i="1"/>
  <c r="AQ30" i="3" s="1"/>
  <c r="AP30" i="1"/>
  <c r="AP30" i="3" s="1"/>
  <c r="AO30" i="1"/>
  <c r="AO30" i="3" s="1"/>
  <c r="AN30" i="1"/>
  <c r="AN30" i="3" s="1"/>
  <c r="AM30" i="1"/>
  <c r="AM30" i="3" s="1"/>
  <c r="AL30" i="1"/>
  <c r="AL30" i="3" s="1"/>
  <c r="AK30" i="1"/>
  <c r="AK30" i="3" s="1"/>
  <c r="AJ30" i="1"/>
  <c r="AJ30" i="3" s="1"/>
  <c r="AH30" i="1"/>
  <c r="AH30" i="3" s="1"/>
  <c r="AG30" i="1"/>
  <c r="AG30" i="3" s="1"/>
  <c r="AF30" i="1"/>
  <c r="AF30" i="3" s="1"/>
  <c r="AE30" i="1"/>
  <c r="AE30" i="3" s="1"/>
  <c r="AD30" i="1"/>
  <c r="AD30" i="3" s="1"/>
  <c r="AA30" i="1"/>
  <c r="AA30" i="3" s="1"/>
  <c r="Z30" i="1"/>
  <c r="Z30" i="3" s="1"/>
  <c r="Y30" i="1"/>
  <c r="Y30" i="3" s="1"/>
  <c r="X30" i="1"/>
  <c r="X30" i="3" s="1"/>
  <c r="W30" i="1"/>
  <c r="W30" i="3" s="1"/>
  <c r="V30" i="1"/>
  <c r="V30" i="3" s="1"/>
  <c r="U30" i="1"/>
  <c r="U30" i="3" s="1"/>
  <c r="R30" i="1"/>
  <c r="R30" i="3" s="1"/>
  <c r="Q30" i="1"/>
  <c r="Q30" i="3" s="1"/>
  <c r="P30" i="1"/>
  <c r="P30" i="3" s="1"/>
  <c r="O30" i="1"/>
  <c r="O30" i="3" s="1"/>
  <c r="BC29" i="1"/>
  <c r="BC29" i="3" s="1"/>
  <c r="BB29" i="1"/>
  <c r="BB29" i="3" s="1"/>
  <c r="AU29" i="1"/>
  <c r="AU29" i="3" s="1"/>
  <c r="AT29" i="1"/>
  <c r="AT29" i="3" s="1"/>
  <c r="AP29" i="1"/>
  <c r="AP29" i="3" s="1"/>
  <c r="AN29" i="1"/>
  <c r="AN29" i="3" s="1"/>
  <c r="AM29" i="1"/>
  <c r="AM29" i="3" s="1"/>
  <c r="AK29" i="1"/>
  <c r="AK29" i="3" s="1"/>
  <c r="AJ29" i="1"/>
  <c r="AJ29" i="3" s="1"/>
  <c r="AH29" i="1"/>
  <c r="AH29" i="3" s="1"/>
  <c r="O29" i="1"/>
  <c r="O29" i="3" s="1"/>
  <c r="BO28" i="1"/>
  <c r="BO28" i="3" s="1"/>
  <c r="BN28" i="1"/>
  <c r="BN28" i="3" s="1"/>
  <c r="BM28" i="1"/>
  <c r="BM28" i="3" s="1"/>
  <c r="BL28" i="1"/>
  <c r="BL28" i="3" s="1"/>
  <c r="BK28" i="1"/>
  <c r="BK28" i="3" s="1"/>
  <c r="BJ28" i="1"/>
  <c r="BJ28" i="3" s="1"/>
  <c r="BH28" i="1"/>
  <c r="BH28" i="3" s="1"/>
  <c r="BG28" i="1"/>
  <c r="BG28" i="3" s="1"/>
  <c r="BF28" i="1"/>
  <c r="BF28" i="3" s="1"/>
  <c r="BE28" i="1"/>
  <c r="BE28" i="3" s="1"/>
  <c r="BD28" i="1"/>
  <c r="BD28" i="3" s="1"/>
  <c r="BC28" i="1"/>
  <c r="BC28" i="3" s="1"/>
  <c r="BB28" i="1"/>
  <c r="BB28" i="3" s="1"/>
  <c r="BA28" i="1"/>
  <c r="BA28" i="3" s="1"/>
  <c r="AZ28" i="1"/>
  <c r="AY28" i="1"/>
  <c r="AY28" i="3" s="1"/>
  <c r="AX28" i="1"/>
  <c r="AX28" i="3" s="1"/>
  <c r="AW28" i="1"/>
  <c r="AW28" i="3" s="1"/>
  <c r="AV28" i="1"/>
  <c r="AV28" i="3" s="1"/>
  <c r="AU28" i="1"/>
  <c r="AU28" i="3" s="1"/>
  <c r="AT28" i="1"/>
  <c r="AT28" i="3" s="1"/>
  <c r="AS28" i="1"/>
  <c r="AS28" i="3" s="1"/>
  <c r="AR28" i="1"/>
  <c r="AR28" i="3" s="1"/>
  <c r="AQ28" i="1"/>
  <c r="AQ28" i="3" s="1"/>
  <c r="AP28" i="1"/>
  <c r="AP28" i="3" s="1"/>
  <c r="AO28" i="1"/>
  <c r="AO28" i="3" s="1"/>
  <c r="AN28" i="1"/>
  <c r="AN28" i="3" s="1"/>
  <c r="AM28" i="1"/>
  <c r="AM28" i="3" s="1"/>
  <c r="AL28" i="1"/>
  <c r="AL28" i="3" s="1"/>
  <c r="AK28" i="1"/>
  <c r="AK28" i="3" s="1"/>
  <c r="AJ28" i="1"/>
  <c r="AJ28" i="3" s="1"/>
  <c r="AH28" i="1"/>
  <c r="AH28" i="3" s="1"/>
  <c r="AG28" i="1"/>
  <c r="AG28" i="3" s="1"/>
  <c r="AF28" i="1"/>
  <c r="AF28" i="3" s="1"/>
  <c r="AE28" i="1"/>
  <c r="AE28" i="3" s="1"/>
  <c r="AD28" i="1"/>
  <c r="AD28" i="3" s="1"/>
  <c r="AA28" i="1"/>
  <c r="AA28" i="3" s="1"/>
  <c r="Z28" i="1"/>
  <c r="Z28" i="3" s="1"/>
  <c r="W28" i="1"/>
  <c r="W28" i="3" s="1"/>
  <c r="V28" i="1"/>
  <c r="V28" i="3" s="1"/>
  <c r="U28" i="1"/>
  <c r="U28" i="3" s="1"/>
  <c r="Q28" i="1"/>
  <c r="Q28" i="3" s="1"/>
  <c r="P28" i="1"/>
  <c r="P28" i="3" s="1"/>
  <c r="O28" i="1"/>
  <c r="O28" i="3" s="1"/>
  <c r="BD27" i="1"/>
  <c r="BD27" i="3" s="1"/>
  <c r="AH27" i="1"/>
  <c r="AH26" i="1" s="1"/>
  <c r="AH26" i="3" s="1"/>
  <c r="AA27" i="1"/>
  <c r="AA27" i="3" s="1"/>
  <c r="BO26" i="1"/>
  <c r="BO26" i="3" s="1"/>
  <c r="BN26" i="1"/>
  <c r="BN26" i="3" s="1"/>
  <c r="BM26" i="1"/>
  <c r="BM26" i="3" s="1"/>
  <c r="BL26" i="1"/>
  <c r="BL26" i="3" s="1"/>
  <c r="BK26" i="1"/>
  <c r="BK26" i="3" s="1"/>
  <c r="BJ26" i="1"/>
  <c r="BJ26" i="3" s="1"/>
  <c r="BH26" i="1"/>
  <c r="BH26" i="3" s="1"/>
  <c r="BG26" i="1"/>
  <c r="BG26" i="3" s="1"/>
  <c r="BF26" i="1"/>
  <c r="BF26" i="3" s="1"/>
  <c r="BE26" i="1"/>
  <c r="BE26" i="3" s="1"/>
  <c r="BC26" i="1"/>
  <c r="BC26" i="3" s="1"/>
  <c r="BB26" i="1"/>
  <c r="BB26" i="3" s="1"/>
  <c r="BA26" i="1"/>
  <c r="BA26" i="3" s="1"/>
  <c r="AZ26" i="1"/>
  <c r="AZ26" i="3" s="1"/>
  <c r="AY26" i="1"/>
  <c r="AY26" i="3" s="1"/>
  <c r="AX26" i="1"/>
  <c r="AX26" i="3" s="1"/>
  <c r="AW26" i="1"/>
  <c r="AW26" i="3" s="1"/>
  <c r="AV26" i="1"/>
  <c r="AV26" i="3" s="1"/>
  <c r="AU26" i="1"/>
  <c r="AU26" i="3" s="1"/>
  <c r="AT26" i="1"/>
  <c r="AT26" i="3" s="1"/>
  <c r="AS26" i="1"/>
  <c r="AS26" i="3" s="1"/>
  <c r="AR26" i="1"/>
  <c r="AR26" i="3" s="1"/>
  <c r="AQ26" i="1"/>
  <c r="AQ26" i="3" s="1"/>
  <c r="AP26" i="1"/>
  <c r="AP26" i="3" s="1"/>
  <c r="AO26" i="1"/>
  <c r="AO26" i="3" s="1"/>
  <c r="AN26" i="1"/>
  <c r="AN26" i="3" s="1"/>
  <c r="AM26" i="1"/>
  <c r="AM26" i="3" s="1"/>
  <c r="AL26" i="1"/>
  <c r="AL26" i="3" s="1"/>
  <c r="AK26" i="1"/>
  <c r="AK26" i="3" s="1"/>
  <c r="AJ26" i="1"/>
  <c r="AJ26" i="3" s="1"/>
  <c r="AG26" i="1"/>
  <c r="AG26" i="3" s="1"/>
  <c r="AF26" i="1"/>
  <c r="AF26" i="3" s="1"/>
  <c r="AE26" i="1"/>
  <c r="AE26" i="3" s="1"/>
  <c r="Z26" i="1"/>
  <c r="Z26" i="3" s="1"/>
  <c r="Y26" i="1"/>
  <c r="Y26" i="3" s="1"/>
  <c r="X26" i="1"/>
  <c r="X26" i="3" s="1"/>
  <c r="W26" i="1"/>
  <c r="W26" i="3" s="1"/>
  <c r="V26" i="1"/>
  <c r="V26" i="3" s="1"/>
  <c r="U26" i="1"/>
  <c r="U26" i="3" s="1"/>
  <c r="T26" i="1"/>
  <c r="T26" i="3" s="1"/>
  <c r="S26" i="1"/>
  <c r="S26" i="3" s="1"/>
  <c r="R26" i="1"/>
  <c r="R26" i="3" s="1"/>
  <c r="Q26" i="1"/>
  <c r="Q26" i="3" s="1"/>
  <c r="P26" i="1"/>
  <c r="P26" i="3" s="1"/>
  <c r="O26" i="1"/>
  <c r="O26" i="3" s="1"/>
  <c r="BO23" i="1"/>
  <c r="BO23" i="3" s="1"/>
  <c r="BN23" i="1"/>
  <c r="BN23" i="3" s="1"/>
  <c r="BM23" i="1"/>
  <c r="BM23" i="3" s="1"/>
  <c r="BL23" i="1"/>
  <c r="BL23" i="3" s="1"/>
  <c r="BK23" i="1"/>
  <c r="BK23" i="3" s="1"/>
  <c r="BJ23" i="1"/>
  <c r="BJ23" i="3" s="1"/>
  <c r="BH23" i="1"/>
  <c r="BH23" i="3" s="1"/>
  <c r="BG23" i="1"/>
  <c r="BG23" i="3" s="1"/>
  <c r="BF23" i="1"/>
  <c r="BF23" i="3" s="1"/>
  <c r="BE23" i="1"/>
  <c r="BE23" i="3" s="1"/>
  <c r="BD23" i="1"/>
  <c r="BD23" i="3" s="1"/>
  <c r="BC23" i="1"/>
  <c r="BC23" i="3" s="1"/>
  <c r="BB23" i="1"/>
  <c r="BB23" i="3" s="1"/>
  <c r="BA23" i="1"/>
  <c r="BA23" i="3" s="1"/>
  <c r="AZ23" i="1"/>
  <c r="AZ23" i="3" s="1"/>
  <c r="AY23" i="1"/>
  <c r="AY23" i="3" s="1"/>
  <c r="AX23" i="1"/>
  <c r="AX23" i="3" s="1"/>
  <c r="AW23" i="1"/>
  <c r="AW23" i="3" s="1"/>
  <c r="AV23" i="1"/>
  <c r="AV23" i="3" s="1"/>
  <c r="AU23" i="1"/>
  <c r="AU23" i="3" s="1"/>
  <c r="AT23" i="1"/>
  <c r="AT23" i="3" s="1"/>
  <c r="AS23" i="1"/>
  <c r="AS23" i="3" s="1"/>
  <c r="AR23" i="1"/>
  <c r="AR23" i="3" s="1"/>
  <c r="AQ23" i="1"/>
  <c r="AQ23" i="3" s="1"/>
  <c r="AP23" i="1"/>
  <c r="AP23" i="3" s="1"/>
  <c r="AO23" i="1"/>
  <c r="AO23" i="3" s="1"/>
  <c r="AN23" i="1"/>
  <c r="AN23" i="3" s="1"/>
  <c r="AM23" i="1"/>
  <c r="AM23" i="3" s="1"/>
  <c r="AL23" i="1"/>
  <c r="AL23" i="3" s="1"/>
  <c r="AK23" i="1"/>
  <c r="AK23" i="3" s="1"/>
  <c r="AJ23" i="1"/>
  <c r="AJ23" i="3" s="1"/>
  <c r="AH23" i="1"/>
  <c r="AH23" i="3" s="1"/>
  <c r="AG23" i="1"/>
  <c r="AG23" i="3" s="1"/>
  <c r="AF23" i="1"/>
  <c r="AF23" i="3" s="1"/>
  <c r="AE23" i="1"/>
  <c r="AE23" i="3" s="1"/>
  <c r="AA23" i="1"/>
  <c r="AA23" i="3" s="1"/>
  <c r="Z23" i="1"/>
  <c r="Z23" i="3" s="1"/>
  <c r="Y23" i="1"/>
  <c r="Y23" i="3" s="1"/>
  <c r="X23" i="1"/>
  <c r="X23" i="3" s="1"/>
  <c r="W23" i="1"/>
  <c r="W23" i="3" s="1"/>
  <c r="V23" i="1"/>
  <c r="V23" i="3" s="1"/>
  <c r="U23" i="1"/>
  <c r="U23" i="3" s="1"/>
  <c r="T23" i="1"/>
  <c r="T23" i="3" s="1"/>
  <c r="S23" i="1"/>
  <c r="S23" i="3" s="1"/>
  <c r="R23" i="1"/>
  <c r="R23" i="3" s="1"/>
  <c r="Q23" i="1"/>
  <c r="Q23" i="3" s="1"/>
  <c r="P23" i="1"/>
  <c r="P23" i="3" s="1"/>
  <c r="O23" i="1"/>
  <c r="O23" i="3" s="1"/>
  <c r="BG22" i="1"/>
  <c r="BG22" i="3" s="1"/>
  <c r="BF22" i="1"/>
  <c r="AY22" i="1"/>
  <c r="AY22" i="3" s="1"/>
  <c r="AT22" i="1"/>
  <c r="AN22" i="1"/>
  <c r="AN22" i="3" s="1"/>
  <c r="AM22" i="1"/>
  <c r="AM22" i="3" s="1"/>
  <c r="AJ22" i="1"/>
  <c r="AJ22" i="3" s="1"/>
  <c r="AH22" i="1"/>
  <c r="AH22" i="3" s="1"/>
  <c r="X22" i="1"/>
  <c r="X22" i="3" s="1"/>
  <c r="V22" i="1"/>
  <c r="R22" i="1"/>
  <c r="R22" i="3" s="1"/>
  <c r="BO21" i="1"/>
  <c r="BO21" i="3" s="1"/>
  <c r="BN21" i="1"/>
  <c r="BN21" i="3" s="1"/>
  <c r="BM21" i="1"/>
  <c r="BM21" i="3" s="1"/>
  <c r="BL21" i="1"/>
  <c r="BL21" i="3" s="1"/>
  <c r="BK21" i="1"/>
  <c r="BK21" i="3" s="1"/>
  <c r="BJ21" i="1"/>
  <c r="BJ21" i="3" s="1"/>
  <c r="BH21" i="1"/>
  <c r="BH21" i="3" s="1"/>
  <c r="BG21" i="1"/>
  <c r="BG21" i="3" s="1"/>
  <c r="BF21" i="1"/>
  <c r="BF21" i="3" s="1"/>
  <c r="BE21" i="1"/>
  <c r="BE21" i="3" s="1"/>
  <c r="BD21" i="1"/>
  <c r="BD21" i="3" s="1"/>
  <c r="BC21" i="1"/>
  <c r="BC21" i="3" s="1"/>
  <c r="BB21" i="1"/>
  <c r="BB21" i="3" s="1"/>
  <c r="BA21" i="1"/>
  <c r="BA21" i="3" s="1"/>
  <c r="AZ21" i="1"/>
  <c r="AZ21" i="3" s="1"/>
  <c r="AY21" i="1"/>
  <c r="AY21" i="3" s="1"/>
  <c r="AX21" i="1"/>
  <c r="AX21" i="3" s="1"/>
  <c r="AW21" i="1"/>
  <c r="AW21" i="3" s="1"/>
  <c r="AV21" i="1"/>
  <c r="AV21" i="3" s="1"/>
  <c r="AU21" i="1"/>
  <c r="AU21" i="3" s="1"/>
  <c r="AT21" i="1"/>
  <c r="AT21" i="3" s="1"/>
  <c r="AS21" i="1"/>
  <c r="AS21" i="3" s="1"/>
  <c r="AR21" i="1"/>
  <c r="AR21" i="3" s="1"/>
  <c r="AQ21" i="1"/>
  <c r="AQ21" i="3" s="1"/>
  <c r="AP21" i="1"/>
  <c r="AP21" i="3" s="1"/>
  <c r="AO21" i="1"/>
  <c r="AO21" i="3" s="1"/>
  <c r="AN21" i="1"/>
  <c r="AN21" i="3" s="1"/>
  <c r="AM21" i="1"/>
  <c r="AM21" i="3" s="1"/>
  <c r="AL21" i="1"/>
  <c r="AL21" i="3" s="1"/>
  <c r="AK21" i="1"/>
  <c r="AK21" i="3" s="1"/>
  <c r="AJ21" i="1"/>
  <c r="AH21" i="1"/>
  <c r="AH21" i="3" s="1"/>
  <c r="AG21" i="1"/>
  <c r="AG21" i="3" s="1"/>
  <c r="AF21" i="1"/>
  <c r="AF21" i="3" s="1"/>
  <c r="AE21" i="1"/>
  <c r="AE21" i="3" s="1"/>
  <c r="AD21" i="1"/>
  <c r="AD21" i="3" s="1"/>
  <c r="AA21" i="1"/>
  <c r="AA21" i="3" s="1"/>
  <c r="Z21" i="1"/>
  <c r="Z21" i="3" s="1"/>
  <c r="X21" i="1"/>
  <c r="X21" i="3" s="1"/>
  <c r="W21" i="1"/>
  <c r="W21" i="3" s="1"/>
  <c r="V21" i="1"/>
  <c r="V21" i="3" s="1"/>
  <c r="U21" i="1"/>
  <c r="U21" i="3" s="1"/>
  <c r="T21" i="1"/>
  <c r="T21" i="3" s="1"/>
  <c r="S21" i="1"/>
  <c r="S21" i="3" s="1"/>
  <c r="R21" i="1"/>
  <c r="R21" i="3" s="1"/>
  <c r="Q21" i="1"/>
  <c r="Q21" i="3" s="1"/>
  <c r="P21" i="1"/>
  <c r="P21" i="3" s="1"/>
  <c r="O21" i="1"/>
  <c r="O21" i="3" s="1"/>
  <c r="AD20" i="1"/>
  <c r="AD20" i="3" s="1"/>
  <c r="BO19" i="1"/>
  <c r="BO19" i="3" s="1"/>
  <c r="BN19" i="1"/>
  <c r="BN19" i="3" s="1"/>
  <c r="BM19" i="1"/>
  <c r="BM19" i="3" s="1"/>
  <c r="BL19" i="1"/>
  <c r="BL19" i="3" s="1"/>
  <c r="BK19" i="1"/>
  <c r="BK19" i="3" s="1"/>
  <c r="BJ19" i="1"/>
  <c r="BJ19" i="3" s="1"/>
  <c r="BH19" i="1"/>
  <c r="BH19" i="3" s="1"/>
  <c r="BG19" i="1"/>
  <c r="BG19" i="3" s="1"/>
  <c r="BF19" i="1"/>
  <c r="BF19" i="3" s="1"/>
  <c r="BE19" i="1"/>
  <c r="BE19" i="3" s="1"/>
  <c r="BD19" i="1"/>
  <c r="BD19" i="3" s="1"/>
  <c r="BC19" i="1"/>
  <c r="BC19" i="3" s="1"/>
  <c r="BB19" i="1"/>
  <c r="BB19" i="3" s="1"/>
  <c r="BA19" i="1"/>
  <c r="AZ19" i="1"/>
  <c r="AZ19" i="3" s="1"/>
  <c r="AY19" i="1"/>
  <c r="AY19" i="3" s="1"/>
  <c r="AX19" i="1"/>
  <c r="AX19" i="3" s="1"/>
  <c r="AV19" i="1"/>
  <c r="AV19" i="3" s="1"/>
  <c r="AU19" i="1"/>
  <c r="AU19" i="3" s="1"/>
  <c r="AT19" i="1"/>
  <c r="AT19" i="3" s="1"/>
  <c r="AS19" i="1"/>
  <c r="AS19" i="3" s="1"/>
  <c r="AR19" i="1"/>
  <c r="AR19" i="3" s="1"/>
  <c r="AQ19" i="1"/>
  <c r="AQ19" i="3" s="1"/>
  <c r="AP19" i="1"/>
  <c r="AP19" i="3" s="1"/>
  <c r="AO19" i="1"/>
  <c r="AO19" i="3" s="1"/>
  <c r="AN19" i="1"/>
  <c r="AN19" i="3" s="1"/>
  <c r="AM19" i="1"/>
  <c r="AM19" i="3" s="1"/>
  <c r="AL19" i="1"/>
  <c r="AL19" i="3" s="1"/>
  <c r="AK19" i="1"/>
  <c r="AK19" i="3" s="1"/>
  <c r="AJ19" i="1"/>
  <c r="AJ19" i="3" s="1"/>
  <c r="AH19" i="1"/>
  <c r="AH19" i="3" s="1"/>
  <c r="AG19" i="1"/>
  <c r="AG19" i="3" s="1"/>
  <c r="AF19" i="1"/>
  <c r="AF19" i="3" s="1"/>
  <c r="AE19" i="1"/>
  <c r="AE19" i="3" s="1"/>
  <c r="AA19" i="1"/>
  <c r="AA19" i="3" s="1"/>
  <c r="Z19" i="1"/>
  <c r="Z19" i="3" s="1"/>
  <c r="Y19" i="1"/>
  <c r="Y19" i="3" s="1"/>
  <c r="X19" i="1"/>
  <c r="X19" i="3" s="1"/>
  <c r="W19" i="1"/>
  <c r="W19" i="3" s="1"/>
  <c r="V19" i="1"/>
  <c r="V19" i="3" s="1"/>
  <c r="U19" i="1"/>
  <c r="U19" i="3" s="1"/>
  <c r="T19" i="1"/>
  <c r="T19" i="3" s="1"/>
  <c r="S19" i="1"/>
  <c r="S19" i="3" s="1"/>
  <c r="R19" i="1"/>
  <c r="R19" i="3" s="1"/>
  <c r="Q19" i="1"/>
  <c r="Q19" i="3" s="1"/>
  <c r="P19" i="1"/>
  <c r="O19" i="1"/>
  <c r="O19" i="3" s="1"/>
  <c r="AN16" i="1"/>
  <c r="F16" i="2" s="1"/>
  <c r="AE16" i="1"/>
  <c r="AE16" i="3" s="1"/>
  <c r="AD16" i="1"/>
  <c r="AD16" i="3" s="1"/>
  <c r="AC16" i="1"/>
  <c r="AC16" i="3" s="1"/>
  <c r="Z16" i="1"/>
  <c r="Z16" i="3" s="1"/>
  <c r="X16" i="1"/>
  <c r="X16" i="3" s="1"/>
  <c r="V16" i="1"/>
  <c r="V16" i="3" s="1"/>
  <c r="U16" i="1"/>
  <c r="U16" i="3" s="1"/>
  <c r="R16" i="1"/>
  <c r="R16" i="3" s="1"/>
  <c r="Q16" i="1"/>
  <c r="Q16" i="3" s="1"/>
  <c r="P16" i="1"/>
  <c r="P16" i="3" s="1"/>
  <c r="O16" i="1"/>
  <c r="N16" i="1"/>
  <c r="N16" i="3" s="1"/>
  <c r="L16" i="1"/>
  <c r="AN15" i="1"/>
  <c r="F15" i="2" s="1"/>
  <c r="AE15" i="1"/>
  <c r="AE15" i="3" s="1"/>
  <c r="AD15" i="1"/>
  <c r="AD15" i="3" s="1"/>
  <c r="AC15" i="1"/>
  <c r="AC15" i="3" s="1"/>
  <c r="AA15" i="1"/>
  <c r="AA15" i="3" s="1"/>
  <c r="Z15" i="1"/>
  <c r="Z15" i="3" s="1"/>
  <c r="X15" i="1"/>
  <c r="X15" i="3" s="1"/>
  <c r="V15" i="1"/>
  <c r="V15" i="3" s="1"/>
  <c r="U15" i="1"/>
  <c r="U15" i="3" s="1"/>
  <c r="S15" i="1"/>
  <c r="S15" i="3" s="1"/>
  <c r="R15" i="1"/>
  <c r="R15" i="3" s="1"/>
  <c r="Q15" i="1"/>
  <c r="Q15" i="3" s="1"/>
  <c r="P15" i="1"/>
  <c r="P15" i="3" s="1"/>
  <c r="O15" i="1"/>
  <c r="O15" i="3" s="1"/>
  <c r="N15" i="1"/>
  <c r="N15" i="3" s="1"/>
  <c r="L15" i="1"/>
  <c r="L15" i="3" s="1"/>
  <c r="AN14" i="1"/>
  <c r="AN14" i="3" s="1"/>
  <c r="AE14" i="1"/>
  <c r="AE14" i="3" s="1"/>
  <c r="AD14" i="1"/>
  <c r="AD14" i="3" s="1"/>
  <c r="AC14" i="1"/>
  <c r="AC14" i="3" s="1"/>
  <c r="AA14" i="1"/>
  <c r="AA14" i="3" s="1"/>
  <c r="Z14" i="1"/>
  <c r="Z14" i="3" s="1"/>
  <c r="X14" i="1"/>
  <c r="X14" i="3" s="1"/>
  <c r="V14" i="1"/>
  <c r="V14" i="3" s="1"/>
  <c r="U14" i="1"/>
  <c r="U14" i="3" s="1"/>
  <c r="S14" i="1"/>
  <c r="S14" i="3" s="1"/>
  <c r="R14" i="1"/>
  <c r="R14" i="3" s="1"/>
  <c r="Q14" i="1"/>
  <c r="Q14" i="3" s="1"/>
  <c r="P14" i="1"/>
  <c r="P14" i="3" s="1"/>
  <c r="O14" i="1"/>
  <c r="O14" i="3" s="1"/>
  <c r="N14" i="1"/>
  <c r="L14" i="1"/>
  <c r="L14" i="3" s="1"/>
  <c r="AN13" i="1"/>
  <c r="AN13" i="3" s="1"/>
  <c r="AE13" i="1"/>
  <c r="AE13" i="3" s="1"/>
  <c r="AD13" i="1"/>
  <c r="AD13" i="3" s="1"/>
  <c r="AC13" i="1"/>
  <c r="AC13" i="3" s="1"/>
  <c r="AA13" i="1"/>
  <c r="AA13" i="3" s="1"/>
  <c r="Z13" i="1"/>
  <c r="Z13" i="3" s="1"/>
  <c r="X13" i="1"/>
  <c r="X13" i="3" s="1"/>
  <c r="V13" i="1"/>
  <c r="V13" i="3" s="1"/>
  <c r="U13" i="1"/>
  <c r="U13" i="3" s="1"/>
  <c r="S13" i="1"/>
  <c r="S13" i="3" s="1"/>
  <c r="R13" i="1"/>
  <c r="R13" i="3" s="1"/>
  <c r="Q13" i="1"/>
  <c r="Q13" i="3" s="1"/>
  <c r="P13" i="1"/>
  <c r="O13" i="1"/>
  <c r="O13" i="3" s="1"/>
  <c r="N13" i="1"/>
  <c r="L13" i="1"/>
  <c r="L13" i="3" s="1"/>
  <c r="X10" i="1"/>
  <c r="X10" i="3" s="1"/>
  <c r="U10" i="1"/>
  <c r="U10" i="3" s="1"/>
  <c r="R10" i="1"/>
  <c r="R10" i="3" s="1"/>
  <c r="Q10" i="1"/>
  <c r="Q10" i="3" s="1"/>
  <c r="P10" i="1"/>
  <c r="P10" i="3" s="1"/>
  <c r="O10" i="1"/>
  <c r="O10" i="3" s="1"/>
  <c r="N10" i="1"/>
  <c r="N10" i="3" s="1"/>
  <c r="L10" i="1"/>
  <c r="L10" i="3" s="1"/>
  <c r="AL8" i="1"/>
  <c r="AL8" i="3" s="1"/>
  <c r="AJ8" i="1"/>
  <c r="AJ8" i="3" s="1"/>
  <c r="AI8" i="1"/>
  <c r="AI8" i="3" s="1"/>
  <c r="AH8" i="1"/>
  <c r="AH8" i="3" s="1"/>
  <c r="AG8" i="1"/>
  <c r="AG8" i="3" s="1"/>
  <c r="AF8" i="1"/>
  <c r="AF8" i="3" s="1"/>
  <c r="AE8" i="1"/>
  <c r="AE8" i="3" s="1"/>
  <c r="AD8" i="1"/>
  <c r="AD8" i="3" s="1"/>
  <c r="AC8" i="1"/>
  <c r="AC8" i="3" s="1"/>
  <c r="AA8" i="1"/>
  <c r="AA8" i="3" s="1"/>
  <c r="Y8" i="1"/>
  <c r="Y8" i="3" s="1"/>
  <c r="X8" i="1"/>
  <c r="X8" i="3" s="1"/>
  <c r="W8" i="1"/>
  <c r="W8" i="3" s="1"/>
  <c r="V8" i="1"/>
  <c r="V8" i="3" s="1"/>
  <c r="U8" i="1"/>
  <c r="U8" i="3" s="1"/>
  <c r="Q8" i="1"/>
  <c r="Q8" i="3" s="1"/>
  <c r="N8" i="1"/>
  <c r="N8" i="3" s="1"/>
  <c r="L8" i="1"/>
  <c r="L8" i="3" s="1"/>
  <c r="AL7" i="1"/>
  <c r="AL7" i="3" s="1"/>
  <c r="AJ7" i="1"/>
  <c r="AJ7" i="3" s="1"/>
  <c r="AI7" i="1"/>
  <c r="AI7" i="3" s="1"/>
  <c r="AH7" i="1"/>
  <c r="AH7" i="3" s="1"/>
  <c r="AG7" i="1"/>
  <c r="AG7" i="3" s="1"/>
  <c r="AF7" i="1"/>
  <c r="AF7" i="3" s="1"/>
  <c r="AE7" i="1"/>
  <c r="AE7" i="3" s="1"/>
  <c r="AD7" i="1"/>
  <c r="AD7" i="3" s="1"/>
  <c r="AC7" i="1"/>
  <c r="AC7" i="3" s="1"/>
  <c r="AA7" i="1"/>
  <c r="AA7" i="3" s="1"/>
  <c r="Y7" i="1"/>
  <c r="Y7" i="3" s="1"/>
  <c r="X7" i="1"/>
  <c r="X7" i="3" s="1"/>
  <c r="W7" i="1"/>
  <c r="W7" i="3" s="1"/>
  <c r="V7" i="1"/>
  <c r="V7" i="3" s="1"/>
  <c r="U7" i="1"/>
  <c r="U7" i="3" s="1"/>
  <c r="S7" i="1"/>
  <c r="S7" i="3" s="1"/>
  <c r="Q7" i="1"/>
  <c r="Q7" i="3" s="1"/>
  <c r="P7" i="1"/>
  <c r="P7" i="3" s="1"/>
  <c r="N7" i="1"/>
  <c r="N7" i="3" s="1"/>
  <c r="L7" i="1"/>
  <c r="L7" i="3" s="1"/>
  <c r="Q6" i="1"/>
  <c r="D6" i="2" s="1"/>
  <c r="Q5" i="1"/>
  <c r="D5" i="2" s="1"/>
  <c r="BD26" i="1" l="1"/>
  <c r="BD26" i="3" s="1"/>
  <c r="AA26" i="1"/>
  <c r="AA26" i="3" s="1"/>
  <c r="G27" i="2"/>
  <c r="AN16" i="3"/>
  <c r="F14" i="2"/>
  <c r="E27" i="2"/>
  <c r="F22" i="2"/>
  <c r="D40" i="2"/>
  <c r="H28" i="2"/>
  <c r="D21" i="2"/>
  <c r="D15" i="2"/>
  <c r="C13" i="2"/>
  <c r="E7" i="2"/>
  <c r="C15" i="2"/>
  <c r="N13" i="3"/>
  <c r="AT22" i="3"/>
  <c r="H35" i="2"/>
  <c r="C47" i="2"/>
  <c r="D47" i="2"/>
  <c r="D48" i="2"/>
  <c r="D49" i="2"/>
  <c r="C50" i="2"/>
  <c r="C51" i="2"/>
  <c r="D51" i="2"/>
  <c r="C7" i="2"/>
  <c r="C14" i="2"/>
  <c r="D26" i="2"/>
  <c r="D35" i="2"/>
  <c r="E35" i="2"/>
  <c r="F35" i="2"/>
  <c r="G35" i="2"/>
  <c r="K35" i="2"/>
  <c r="D38" i="2"/>
  <c r="D39" i="2"/>
  <c r="D8" i="2"/>
  <c r="AN15" i="3"/>
  <c r="C49" i="2"/>
  <c r="D50" i="2"/>
  <c r="F19" i="2"/>
  <c r="H30" i="2"/>
  <c r="F29" i="2"/>
  <c r="D13" i="2"/>
  <c r="D19" i="2"/>
  <c r="G19" i="2"/>
  <c r="E21" i="2"/>
  <c r="G28" i="2"/>
  <c r="E23" i="2"/>
  <c r="E28" i="2"/>
  <c r="D29" i="2"/>
  <c r="F30" i="2"/>
  <c r="E30" i="2"/>
  <c r="F28" i="2"/>
  <c r="D28" i="2"/>
  <c r="H26" i="2"/>
  <c r="C48" i="2"/>
  <c r="G23" i="2"/>
  <c r="Q6" i="3"/>
  <c r="H21" i="2"/>
  <c r="G29" i="2"/>
  <c r="D41" i="2"/>
  <c r="P13" i="3"/>
  <c r="P19" i="3"/>
  <c r="BA19" i="3"/>
  <c r="AJ21" i="3"/>
  <c r="G22" i="2"/>
  <c r="AZ28" i="3"/>
  <c r="E26" i="2"/>
  <c r="D16" i="2"/>
  <c r="D22" i="2"/>
  <c r="D14" i="2"/>
  <c r="D7" i="2"/>
  <c r="Q5" i="3"/>
  <c r="D30" i="2"/>
  <c r="G30" i="2"/>
  <c r="H23" i="2"/>
  <c r="H19" i="2"/>
  <c r="E29" i="2"/>
  <c r="F21" i="2"/>
  <c r="AH27" i="3"/>
  <c r="C16" i="2"/>
  <c r="G21" i="2"/>
  <c r="F26" i="2"/>
  <c r="D23" i="2"/>
  <c r="F13" i="2"/>
  <c r="N14" i="3"/>
  <c r="L16" i="3"/>
  <c r="O16" i="3"/>
  <c r="V22" i="3"/>
  <c r="BF22" i="3"/>
  <c r="E8" i="2"/>
  <c r="C10" i="2"/>
  <c r="D10" i="2"/>
  <c r="E19" i="2"/>
  <c r="F23" i="2"/>
  <c r="C8" i="2"/>
  <c r="E22" i="2"/>
  <c r="G26" i="2" l="1"/>
</calcChain>
</file>

<file path=xl/sharedStrings.xml><?xml version="1.0" encoding="utf-8"?>
<sst xmlns="http://schemas.openxmlformats.org/spreadsheetml/2006/main" count="177" uniqueCount="82">
  <si>
    <t>Kriterium</t>
  </si>
  <si>
    <t>Arbeitslose Total</t>
  </si>
  <si>
    <t>Stellensuchende Männer</t>
  </si>
  <si>
    <t>Stellensuchende Frauen</t>
  </si>
  <si>
    <t>Stellensuchende CH</t>
  </si>
  <si>
    <t>Stellensuchende Ausländer</t>
  </si>
  <si>
    <t>Zugänge</t>
  </si>
  <si>
    <t>Abgänge</t>
  </si>
  <si>
    <t>davon eine Stelle</t>
  </si>
  <si>
    <t>Offene Stellen</t>
  </si>
  <si>
    <t>Zwischenverdienst</t>
  </si>
  <si>
    <t>Q-Programme</t>
  </si>
  <si>
    <t>Weiterbildung §</t>
  </si>
  <si>
    <t>übrige nicht AL SteSu</t>
  </si>
  <si>
    <t>Arbeitslos</t>
  </si>
  <si>
    <t>Aussteuerungen</t>
  </si>
  <si>
    <t>Dauer der Stellensuche</t>
  </si>
  <si>
    <t>bis 3 Mt</t>
  </si>
  <si>
    <t>3 bis 6 Mt</t>
  </si>
  <si>
    <t>6 bis 9 Mt</t>
  </si>
  <si>
    <t>9 bis 12 Mt</t>
  </si>
  <si>
    <t>&gt;12 Mt</t>
  </si>
  <si>
    <t>Anzahl Ausfallstunden</t>
  </si>
  <si>
    <t xml:space="preserve">Anzahl Betriebsabteilungen </t>
  </si>
  <si>
    <t>Anzahl Arbeitnehmer Betroffen</t>
  </si>
  <si>
    <t>Voranmeldungen total</t>
  </si>
  <si>
    <t>davon kein oder teilweise Einspruch</t>
  </si>
  <si>
    <t>Anzahl voraussichtlich betroffene Arbeitsplätze</t>
  </si>
  <si>
    <t>Stellensuchende Total</t>
  </si>
  <si>
    <t>Arbeitslose Regional</t>
  </si>
  <si>
    <t>Solothurn</t>
  </si>
  <si>
    <t>Grenchen</t>
  </si>
  <si>
    <t>Olten/Gösgen/Gäu</t>
  </si>
  <si>
    <t>Thal</t>
  </si>
  <si>
    <t>Thierstein/Dorneck</t>
  </si>
  <si>
    <t>unter 20</t>
  </si>
  <si>
    <t>20 - 24 jährig</t>
  </si>
  <si>
    <t>25 - 29 jährig</t>
  </si>
  <si>
    <t>30 - 39 jährig</t>
  </si>
  <si>
    <t>40 - 49 jährig</t>
  </si>
  <si>
    <t>50 - 59 jährig</t>
  </si>
  <si>
    <t>60 und älter</t>
  </si>
  <si>
    <t>Stellensuchende Regional</t>
  </si>
  <si>
    <t>Veränderungen</t>
  </si>
  <si>
    <t>Kurzarbeitsentschädigung</t>
  </si>
  <si>
    <t>Stellensuchende nach Alter</t>
  </si>
  <si>
    <t>#</t>
  </si>
  <si>
    <t>Erwerbspersonen</t>
  </si>
  <si>
    <t>Stellensuchende total</t>
  </si>
  <si>
    <t>Stellensuchende:</t>
  </si>
  <si>
    <t>STS unter 20</t>
  </si>
  <si>
    <t>STS 20 - 24 jährig</t>
  </si>
  <si>
    <t>STS 25 - 29 jährig</t>
  </si>
  <si>
    <t>STS 30 - 39 jährig</t>
  </si>
  <si>
    <t>STS 40 - 49 jährig</t>
  </si>
  <si>
    <t>STS 50 - 59 jährig</t>
  </si>
  <si>
    <t>STS 60 und älter</t>
  </si>
  <si>
    <t>Arbeitslose</t>
  </si>
  <si>
    <t>Reg. Solothurn</t>
  </si>
  <si>
    <t>Reg. Grenchen</t>
  </si>
  <si>
    <t>Reg. Olten/Gösgen/Gäu</t>
  </si>
  <si>
    <t>Reg. Thal</t>
  </si>
  <si>
    <t>Reg. Thierstein/Dorneck</t>
  </si>
  <si>
    <t>Stellensuchende</t>
  </si>
  <si>
    <t>EP VZ 2010</t>
  </si>
  <si>
    <t>EP VZ 2000</t>
  </si>
  <si>
    <t>EP SE 2012 - 2014</t>
  </si>
  <si>
    <t>Voranmeldungen pro Monat</t>
  </si>
  <si>
    <t>Anzahl Ausfallstunden pro Monat</t>
  </si>
  <si>
    <t>Anzahl Betriebsabteilungen pro Monat</t>
  </si>
  <si>
    <t>Anzahl Arbeitnehmer Betroffen pro Monat</t>
  </si>
  <si>
    <t>Anzahl voraussichtlich betroffene Arbeitsplätze p.M.</t>
  </si>
  <si>
    <t xml:space="preserve">Weiterbildung </t>
  </si>
  <si>
    <t>EP SE 2015 - 2017</t>
  </si>
  <si>
    <t>n.v.</t>
  </si>
  <si>
    <r>
      <t xml:space="preserve">Aussteuerungen </t>
    </r>
    <r>
      <rPr>
        <sz val="10"/>
        <rFont val="Calibri"/>
        <family val="2"/>
      </rPr>
      <t>Ø</t>
    </r>
  </si>
  <si>
    <t>EP SE 2018 - 2020</t>
  </si>
  <si>
    <t xml:space="preserve">  </t>
  </si>
  <si>
    <t>davon eine Stelle *</t>
  </si>
  <si>
    <t xml:space="preserve">davon Meldepflicht </t>
  </si>
  <si>
    <t>* ab März 2024 nicht mehr abgebildet, dafür neu davon Meldepflicht</t>
  </si>
  <si>
    <t>EP SE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</si>
</sst>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_ ;\-0\ "/>
    <numFmt numFmtId="167" formatCode="_ * #,##0.0_ ;_ * \-#,##0.0_ ;_ * &quot;-&quot;??_ ;_ @_ "/>
    <numFmt numFmtId="168" formatCode="#,##0;\(#,##0\)"/>
  </numFmts>
  <fonts count="20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Frutiger LT Com 55 Roman"/>
      <family val="2"/>
    </font>
    <font>
      <b/>
      <sz val="10"/>
      <name val="Frutiger LT Com 55 Roman"/>
      <family val="2"/>
    </font>
    <font>
      <sz val="8"/>
      <name val="Frutiger LT Com 55 Roman"/>
      <family val="2"/>
    </font>
    <font>
      <sz val="8.5"/>
      <name val="MS Sans Serif"/>
      <family val="2"/>
    </font>
    <font>
      <sz val="9"/>
      <name val="Frutiger LT Com 55 Roman"/>
      <family val="2"/>
    </font>
    <font>
      <b/>
      <sz val="9"/>
      <name val="Frutiger LT Com 55 Roman"/>
      <family val="2"/>
    </font>
    <font>
      <sz val="8.5"/>
      <name val="Frutiger LT Com 55 Roman"/>
      <family val="2"/>
    </font>
    <font>
      <sz val="10"/>
      <color rgb="FFFF0000"/>
      <name val="Frutiger LT Com 55 Roman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Microsoft Sans Serif"/>
      <family val="2"/>
    </font>
    <font>
      <b/>
      <sz val="8.5"/>
      <name val="Times New Roman"/>
      <family val="1"/>
    </font>
    <font>
      <sz val="10"/>
      <color rgb="FF000000"/>
      <name val="Frutiger LT Com 55 Roman"/>
      <family val="2"/>
    </font>
    <font>
      <sz val="10"/>
      <name val="Calibri"/>
      <family val="2"/>
    </font>
    <font>
      <sz val="9"/>
      <name val="MS Sans Serif"/>
      <family val="2"/>
    </font>
    <font>
      <sz val="9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2" fillId="0" borderId="0"/>
    <xf numFmtId="0" fontId="3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16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1" xfId="0" applyFont="1" applyBorder="1"/>
    <xf numFmtId="17" fontId="5" fillId="2" borderId="0" xfId="0" applyNumberFormat="1" applyFont="1" applyFill="1"/>
    <xf numFmtId="0" fontId="4" fillId="0" borderId="0" xfId="0" applyFont="1" applyAlignment="1">
      <alignment wrapText="1"/>
    </xf>
    <xf numFmtId="165" fontId="4" fillId="0" borderId="0" xfId="1" applyNumberFormat="1" applyFont="1" applyFill="1" applyBorder="1"/>
    <xf numFmtId="165" fontId="5" fillId="0" borderId="0" xfId="1" applyNumberFormat="1" applyFont="1" applyFill="1" applyBorder="1"/>
    <xf numFmtId="165" fontId="5" fillId="0" borderId="0" xfId="1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/>
    <xf numFmtId="165" fontId="4" fillId="0" borderId="1" xfId="1" applyNumberFormat="1" applyFont="1" applyFill="1" applyBorder="1"/>
    <xf numFmtId="165" fontId="5" fillId="0" borderId="1" xfId="1" applyNumberFormat="1" applyFont="1" applyFill="1" applyBorder="1"/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4" fillId="0" borderId="0" xfId="0" applyNumberFormat="1" applyFont="1"/>
    <xf numFmtId="166" fontId="5" fillId="2" borderId="0" xfId="1" applyNumberFormat="1" applyFont="1" applyFill="1" applyBorder="1"/>
    <xf numFmtId="165" fontId="6" fillId="0" borderId="0" xfId="1" applyNumberFormat="1" applyFont="1" applyFill="1" applyBorder="1"/>
    <xf numFmtId="165" fontId="6" fillId="0" borderId="1" xfId="1" applyNumberFormat="1" applyFont="1" applyFill="1" applyBorder="1"/>
    <xf numFmtId="167" fontId="4" fillId="0" borderId="0" xfId="1" applyNumberFormat="1" applyFont="1" applyFill="1" applyBorder="1"/>
    <xf numFmtId="167" fontId="5" fillId="0" borderId="0" xfId="1" applyNumberFormat="1" applyFont="1" applyFill="1" applyBorder="1"/>
    <xf numFmtId="17" fontId="5" fillId="2" borderId="2" xfId="0" applyNumberFormat="1" applyFont="1" applyFill="1" applyBorder="1"/>
    <xf numFmtId="165" fontId="4" fillId="0" borderId="2" xfId="1" applyNumberFormat="1" applyFont="1" applyFill="1" applyBorder="1"/>
    <xf numFmtId="167" fontId="4" fillId="0" borderId="2" xfId="1" applyNumberFormat="1" applyFont="1" applyFill="1" applyBorder="1"/>
    <xf numFmtId="167" fontId="5" fillId="0" borderId="2" xfId="1" applyNumberFormat="1" applyFont="1" applyFill="1" applyBorder="1"/>
    <xf numFmtId="167" fontId="4" fillId="0" borderId="1" xfId="1" applyNumberFormat="1" applyFont="1" applyFill="1" applyBorder="1"/>
    <xf numFmtId="167" fontId="5" fillId="0" borderId="1" xfId="1" applyNumberFormat="1" applyFont="1" applyFill="1" applyBorder="1"/>
    <xf numFmtId="167" fontId="0" fillId="0" borderId="0" xfId="0" applyNumberFormat="1"/>
    <xf numFmtId="0" fontId="7" fillId="0" borderId="0" xfId="0" applyFont="1"/>
    <xf numFmtId="0" fontId="0" fillId="0" borderId="1" xfId="0" applyBorder="1"/>
    <xf numFmtId="1" fontId="4" fillId="0" borderId="0" xfId="0" applyNumberFormat="1" applyFont="1"/>
    <xf numFmtId="3" fontId="8" fillId="0" borderId="0" xfId="0" applyNumberFormat="1" applyFont="1"/>
    <xf numFmtId="0" fontId="10" fillId="0" borderId="0" xfId="0" applyFont="1"/>
    <xf numFmtId="3" fontId="4" fillId="0" borderId="0" xfId="1" applyNumberFormat="1" applyFont="1" applyFill="1" applyBorder="1"/>
    <xf numFmtId="3" fontId="4" fillId="0" borderId="0" xfId="0" applyNumberFormat="1" applyFont="1"/>
    <xf numFmtId="0" fontId="8" fillId="0" borderId="0" xfId="0" applyFont="1"/>
    <xf numFmtId="164" fontId="8" fillId="0" borderId="0" xfId="0" applyNumberFormat="1" applyFont="1"/>
    <xf numFmtId="3" fontId="4" fillId="0" borderId="1" xfId="1" applyNumberFormat="1" applyFont="1" applyFill="1" applyBorder="1"/>
    <xf numFmtId="3" fontId="5" fillId="0" borderId="0" xfId="0" applyNumberFormat="1" applyFont="1"/>
    <xf numFmtId="3" fontId="9" fillId="0" borderId="0" xfId="0" applyNumberFormat="1" applyFont="1"/>
    <xf numFmtId="3" fontId="9" fillId="3" borderId="3" xfId="0" applyNumberFormat="1" applyFont="1" applyFill="1" applyBorder="1"/>
    <xf numFmtId="0" fontId="5" fillId="0" borderId="0" xfId="0" applyFont="1" applyAlignment="1">
      <alignment horizontal="center"/>
    </xf>
    <xf numFmtId="3" fontId="11" fillId="0" borderId="0" xfId="0" applyNumberFormat="1" applyFont="1"/>
    <xf numFmtId="1" fontId="4" fillId="0" borderId="1" xfId="0" applyNumberFormat="1" applyFont="1" applyBorder="1"/>
    <xf numFmtId="1" fontId="5" fillId="0" borderId="1" xfId="0" applyNumberFormat="1" applyFont="1" applyBorder="1"/>
    <xf numFmtId="0" fontId="5" fillId="0" borderId="1" xfId="0" applyFont="1" applyBorder="1"/>
    <xf numFmtId="0" fontId="4" fillId="0" borderId="2" xfId="0" applyFont="1" applyBorder="1"/>
    <xf numFmtId="0" fontId="0" fillId="0" borderId="2" xfId="0" applyBorder="1"/>
    <xf numFmtId="0" fontId="5" fillId="0" borderId="2" xfId="0" applyFont="1" applyBorder="1"/>
    <xf numFmtId="0" fontId="13" fillId="0" borderId="0" xfId="0" applyFont="1"/>
    <xf numFmtId="0" fontId="14" fillId="0" borderId="0" xfId="0" applyFont="1"/>
    <xf numFmtId="17" fontId="15" fillId="3" borderId="3" xfId="0" applyNumberFormat="1" applyFont="1" applyFill="1" applyBorder="1"/>
    <xf numFmtId="168" fontId="16" fillId="0" borderId="0" xfId="6" applyNumberFormat="1" applyFont="1"/>
    <xf numFmtId="3" fontId="4" fillId="0" borderId="2" xfId="0" applyNumberFormat="1" applyFont="1" applyBorder="1"/>
    <xf numFmtId="17" fontId="5" fillId="2" borderId="4" xfId="0" applyNumberFormat="1" applyFont="1" applyFill="1" applyBorder="1"/>
    <xf numFmtId="17" fontId="5" fillId="3" borderId="1" xfId="0" applyNumberFormat="1" applyFont="1" applyFill="1" applyBorder="1"/>
    <xf numFmtId="17" fontId="5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/>
    <xf numFmtId="164" fontId="4" fillId="0" borderId="2" xfId="0" applyNumberFormat="1" applyFont="1" applyBorder="1"/>
    <xf numFmtId="164" fontId="5" fillId="0" borderId="2" xfId="0" applyNumberFormat="1" applyFont="1" applyBorder="1"/>
    <xf numFmtId="164" fontId="0" fillId="0" borderId="2" xfId="0" applyNumberFormat="1" applyBorder="1"/>
    <xf numFmtId="164" fontId="5" fillId="0" borderId="0" xfId="0" applyNumberFormat="1" applyFont="1"/>
    <xf numFmtId="164" fontId="4" fillId="0" borderId="1" xfId="0" applyNumberFormat="1" applyFont="1" applyBorder="1"/>
    <xf numFmtId="164" fontId="5" fillId="0" borderId="1" xfId="0" applyNumberFormat="1" applyFont="1" applyBorder="1"/>
    <xf numFmtId="0" fontId="18" fillId="0" borderId="0" xfId="0" applyFont="1"/>
    <xf numFmtId="0" fontId="19" fillId="0" borderId="0" xfId="0" applyFont="1"/>
    <xf numFmtId="164" fontId="0" fillId="0" borderId="0" xfId="0" applyNumberFormat="1"/>
  </cellXfs>
  <cellStyles count="7">
    <cellStyle name="Komma" xfId="1" builtinId="3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8" xfId="5" xr:uid="{00000000-0005-0000-0000-000005000000}"/>
    <cellStyle name="Standard_Zeitreihe_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Kopie_Februar_Arbeitslosenzahlen_1992-2025_Monatswerte.xlsx" TargetMode="External"/><Relationship Id="rId2" Type="http://schemas.openxmlformats.org/officeDocument/2006/relationships/externalLinkPath" Target="file:///H:\FFIVWSTAT\03%20Arbeit%20und%20Erwerb\03_11%20Arbeitslosenzahlen\2025\Kopie_Februar_Arbeitslosenzahlen_1992-2025_Monatswerte.xlsx" TargetMode="External"/><Relationship Id="rId1" Type="http://schemas.openxmlformats.org/officeDocument/2006/relationships/externalLinkPath" Target="/FFIVWSTAT/03%20Arbeit%20und%20Erwerb/03_11%20Arbeitslosenzahlen/2025/Kopie_Februar_Arbeitslosenzahlen_1992-2025_Monatswerte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Kopie_Dezember_Arbeitslosenzahlen_1992-2025_Monatswerte.xlsx" TargetMode="External"/><Relationship Id="rId2" Type="http://schemas.openxmlformats.org/officeDocument/2006/relationships/externalLinkPath" Target="file:///H:\FFIVWSTAT\03%20Arbeit%20und%20Erwerb\03_11%20Arbeitslosenzahlen\2025\Kopie_Dezember_Arbeitslosenzahlen_1992-2025_Monatswerte.xlsx" TargetMode="External"/><Relationship Id="rId1" Type="http://schemas.openxmlformats.org/officeDocument/2006/relationships/externalLinkPath" Target="/FFIVWSTAT/03%20Arbeit%20und%20Erwerb/03_11%20Arbeitslosenzahlen/2025/Kopie_Dezember_Arbeitslosenzahlen_1992-2025_Monatswerte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/Kopie_Januar_Arbeitslosenzahlen_1992-2026_Monatswerte.xlsx" TargetMode="External"/><Relationship Id="rId2" Type="http://schemas.openxmlformats.org/officeDocument/2006/relationships/externalLinkPath" Target="file:///H:\FFIVWSTAT\03%20Arbeit%20und%20Erwerb\03_11%20Arbeitslosenzahlen\2026\Kopie_Januar_Arbeitslosenzahlen_1992-2026_Monatswerte.xlsx" TargetMode="External"/><Relationship Id="rId1" Type="http://schemas.openxmlformats.org/officeDocument/2006/relationships/externalLinkPath" Target="/FFIVWSTAT/03%20Arbeit%20und%20Erwerb/03_11%20Arbeitslosenzahlen/2026/Kopie_Januar_Arbeitslosenzahlen_1992-2026_Monatswer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dawawal\AppData\Local\Microsoft\Windows\Temporary%20Internet%20Files\Content.Outlook\QERUJEMI\AWA2016%20VZ2010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4/Kopie_September_von_Arbeitslosenzahlen_1992-2024_Monatswerte.xlsx" TargetMode="External"/><Relationship Id="rId2" Type="http://schemas.openxmlformats.org/officeDocument/2006/relationships/externalLinkPath" Target="file:///H:\FFIVWSTAT\03%20Arbeit%20und%20Erwerb\03_11%20Arbeitslosenzahlen\2024\Kopie_September_von_Arbeitslosenzahlen_1992-2024_Monatswerte.xlsx" TargetMode="External"/><Relationship Id="rId1" Type="http://schemas.openxmlformats.org/officeDocument/2006/relationships/externalLinkPath" Target="/FFIVWSTAT/03%20Arbeit%20und%20Erwerb/03_11%20Arbeitslosenzahlen/2024/Kopie_September_von_Arbeitslosenzahlen_1992-2024_Monatswerte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Kopie_Juli_Arbeitslosenzahlen_1992-2025_Monatswerte.xlsx" TargetMode="External"/><Relationship Id="rId2" Type="http://schemas.openxmlformats.org/officeDocument/2006/relationships/externalLinkPath" Target="file:///H:\FFIVWSTAT\03%20Arbeit%20und%20Erwerb\03_11%20Arbeitslosenzahlen\2025\Kopie_Juli_Arbeitslosenzahlen_1992-2025_Monatswerte.xlsx" TargetMode="External"/><Relationship Id="rId1" Type="http://schemas.openxmlformats.org/officeDocument/2006/relationships/externalLinkPath" Target="/FFIVWSTAT/03%20Arbeit%20und%20Erwerb/03_11%20Arbeitslosenzahlen/2025/Kopie_Juli_Arbeitslosenzahlen_1992-2025_Monatswerte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/Kopie_M&#228;rz_Arbeitslosenzahlen_1992-2026_Monatswerte.xlsx" TargetMode="External"/><Relationship Id="rId2" Type="http://schemas.openxmlformats.org/officeDocument/2006/relationships/externalLinkPath" Target="file:///H:\FFIVWSTAT\03%20Arbeit%20und%20Erwerb\03_11%20Arbeitslosenzahlen\2026\Kopie_M&#228;rz_Arbeitslosenzahlen_1992-2026_Monatswerte.xlsx" TargetMode="External"/><Relationship Id="rId1" Type="http://schemas.openxmlformats.org/officeDocument/2006/relationships/externalLinkPath" Target="/FFIVWSTAT/03%20Arbeit%20und%20Erwerb/03_11%20Arbeitslosenzahlen/2026/Kopie_M&#228;rz_Arbeitslosenzahlen_1992-2026_Monatswe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FC3">
            <v>7309</v>
          </cell>
          <cell r="FD3">
            <v>7260</v>
          </cell>
          <cell r="FE3">
            <v>7177</v>
          </cell>
          <cell r="FF3">
            <v>6920</v>
          </cell>
          <cell r="FG3">
            <v>6806</v>
          </cell>
          <cell r="FH3">
            <v>6670</v>
          </cell>
          <cell r="FI3">
            <v>6746</v>
          </cell>
          <cell r="FJ3">
            <v>6657</v>
          </cell>
          <cell r="FK3">
            <v>6628</v>
          </cell>
          <cell r="FL3">
            <v>6560</v>
          </cell>
          <cell r="FM3">
            <v>6741</v>
          </cell>
          <cell r="FN3">
            <v>6847</v>
          </cell>
          <cell r="FO3">
            <v>6845</v>
          </cell>
          <cell r="FP3">
            <v>6759</v>
          </cell>
          <cell r="FQ3">
            <v>6664</v>
          </cell>
          <cell r="FR3">
            <v>6424</v>
          </cell>
          <cell r="FS3">
            <v>6154</v>
          </cell>
          <cell r="FT3">
            <v>5864</v>
          </cell>
          <cell r="FU3">
            <v>5880</v>
          </cell>
          <cell r="FV3">
            <v>5829</v>
          </cell>
          <cell r="FW3">
            <v>5778</v>
          </cell>
          <cell r="FX3">
            <v>5825</v>
          </cell>
          <cell r="FY3">
            <v>6012</v>
          </cell>
          <cell r="FZ3">
            <v>6130</v>
          </cell>
          <cell r="GA3">
            <v>6107</v>
          </cell>
          <cell r="GB3">
            <v>5984</v>
          </cell>
          <cell r="GC3">
            <v>5886</v>
          </cell>
          <cell r="GD3">
            <v>5715</v>
          </cell>
          <cell r="GE3">
            <v>5580</v>
          </cell>
          <cell r="GF3">
            <v>5475</v>
          </cell>
          <cell r="GG3">
            <v>5500</v>
          </cell>
          <cell r="GH3">
            <v>5390</v>
          </cell>
          <cell r="GI3">
            <v>5461</v>
          </cell>
          <cell r="GJ3">
            <v>5611</v>
          </cell>
          <cell r="GK3">
            <v>5843</v>
          </cell>
          <cell r="GL3">
            <v>6059</v>
          </cell>
          <cell r="GM3">
            <v>6093</v>
          </cell>
          <cell r="GN3">
            <v>5944</v>
          </cell>
          <cell r="GO3">
            <v>6532</v>
          </cell>
          <cell r="GP3">
            <v>7049</v>
          </cell>
          <cell r="GQ3">
            <v>7251</v>
          </cell>
          <cell r="GR3">
            <v>7485</v>
          </cell>
          <cell r="GS3">
            <v>7787</v>
          </cell>
          <cell r="GT3">
            <v>7823</v>
          </cell>
          <cell r="GU3">
            <v>7840</v>
          </cell>
          <cell r="GV3">
            <v>7947</v>
          </cell>
          <cell r="GW3">
            <v>8262</v>
          </cell>
          <cell r="GX3">
            <v>8559</v>
          </cell>
          <cell r="GY3">
            <v>8574</v>
          </cell>
          <cell r="GZ3">
            <v>8526</v>
          </cell>
          <cell r="HA3">
            <v>8444</v>
          </cell>
          <cell r="HB3">
            <v>8270</v>
          </cell>
          <cell r="HC3">
            <v>8119</v>
          </cell>
          <cell r="HD3">
            <v>7898</v>
          </cell>
          <cell r="HE3">
            <v>7682</v>
          </cell>
          <cell r="HF3">
            <v>7447</v>
          </cell>
          <cell r="HG3">
            <v>7270</v>
          </cell>
          <cell r="HH3">
            <v>7133</v>
          </cell>
          <cell r="HI3">
            <v>7293</v>
          </cell>
          <cell r="HJ3">
            <v>7338</v>
          </cell>
          <cell r="HK3">
            <v>7208</v>
          </cell>
          <cell r="HL3">
            <v>7119</v>
          </cell>
          <cell r="HM3">
            <v>6898</v>
          </cell>
          <cell r="HN3">
            <v>6536</v>
          </cell>
          <cell r="HO3">
            <v>6261</v>
          </cell>
          <cell r="HP3">
            <v>6015</v>
          </cell>
          <cell r="HQ3">
            <v>5843</v>
          </cell>
          <cell r="HR3">
            <v>5657</v>
          </cell>
          <cell r="HS3">
            <v>5422</v>
          </cell>
          <cell r="HT3">
            <v>5393</v>
          </cell>
          <cell r="HU3">
            <v>5447</v>
          </cell>
          <cell r="HV3">
            <v>5466</v>
          </cell>
          <cell r="HW3">
            <v>5442</v>
          </cell>
          <cell r="HX3">
            <v>5447</v>
          </cell>
          <cell r="HY3">
            <v>5315</v>
          </cell>
          <cell r="HZ3">
            <v>5110</v>
          </cell>
          <cell r="IA3">
            <v>5001</v>
          </cell>
          <cell r="IB3">
            <v>4920</v>
          </cell>
          <cell r="IC3">
            <v>5008</v>
          </cell>
          <cell r="ID3">
            <v>4998</v>
          </cell>
          <cell r="IE3">
            <v>4936</v>
          </cell>
          <cell r="IF3">
            <v>5090</v>
          </cell>
          <cell r="IG3">
            <v>5408</v>
          </cell>
          <cell r="IH3">
            <v>5531</v>
          </cell>
        </row>
        <row r="4">
          <cell r="FC4">
            <v>4744</v>
          </cell>
          <cell r="FD4">
            <v>4602</v>
          </cell>
          <cell r="FE4">
            <v>4420</v>
          </cell>
          <cell r="FF4">
            <v>4281</v>
          </cell>
          <cell r="FG4">
            <v>4074</v>
          </cell>
          <cell r="FH4">
            <v>3860</v>
          </cell>
          <cell r="FI4">
            <v>3900</v>
          </cell>
          <cell r="FJ4">
            <v>3953</v>
          </cell>
          <cell r="FK4">
            <v>3801</v>
          </cell>
          <cell r="FL4">
            <v>3782</v>
          </cell>
          <cell r="FM4">
            <v>3869</v>
          </cell>
          <cell r="FN4">
            <v>4193</v>
          </cell>
          <cell r="FO4">
            <v>4160</v>
          </cell>
          <cell r="FP4">
            <v>4052</v>
          </cell>
          <cell r="FQ4">
            <v>4095</v>
          </cell>
          <cell r="FR4">
            <v>3633</v>
          </cell>
          <cell r="FS4">
            <v>3265</v>
          </cell>
          <cell r="FT4">
            <v>3088</v>
          </cell>
          <cell r="FU4">
            <v>2991</v>
          </cell>
          <cell r="FV4">
            <v>3048</v>
          </cell>
          <cell r="FW4">
            <v>2996</v>
          </cell>
          <cell r="FX4">
            <v>2865</v>
          </cell>
          <cell r="FY4">
            <v>2885</v>
          </cell>
          <cell r="FZ4">
            <v>3113</v>
          </cell>
          <cell r="GA4">
            <v>3218</v>
          </cell>
          <cell r="GB4">
            <v>3133</v>
          </cell>
          <cell r="GC4">
            <v>2977</v>
          </cell>
          <cell r="GD4">
            <v>2744</v>
          </cell>
          <cell r="GE4">
            <v>2610</v>
          </cell>
          <cell r="GF4">
            <v>2531</v>
          </cell>
          <cell r="GG4">
            <v>2540</v>
          </cell>
          <cell r="GH4">
            <v>2629</v>
          </cell>
          <cell r="GI4">
            <v>2683</v>
          </cell>
          <cell r="GJ4">
            <v>2761</v>
          </cell>
          <cell r="GK4">
            <v>2900</v>
          </cell>
          <cell r="GL4">
            <v>3199</v>
          </cell>
          <cell r="GM4">
            <v>3405</v>
          </cell>
          <cell r="GN4">
            <v>3408</v>
          </cell>
          <cell r="GO4">
            <v>3858</v>
          </cell>
          <cell r="GP4">
            <v>4304</v>
          </cell>
          <cell r="GQ4">
            <v>4446</v>
          </cell>
          <cell r="GR4">
            <v>4366</v>
          </cell>
          <cell r="GS4">
            <v>4393</v>
          </cell>
          <cell r="GT4">
            <v>4675</v>
          </cell>
          <cell r="GU4">
            <v>4581</v>
          </cell>
          <cell r="GV4">
            <v>4558</v>
          </cell>
          <cell r="GW4">
            <v>4560</v>
          </cell>
          <cell r="GX4">
            <v>4951</v>
          </cell>
          <cell r="GY4">
            <v>5246</v>
          </cell>
          <cell r="GZ4">
            <v>5243</v>
          </cell>
          <cell r="HA4">
            <v>4877</v>
          </cell>
          <cell r="HB4">
            <v>4672</v>
          </cell>
          <cell r="HC4">
            <v>4432</v>
          </cell>
          <cell r="HD4">
            <v>4215</v>
          </cell>
          <cell r="HE4">
            <v>4085</v>
          </cell>
          <cell r="HF4">
            <v>4077</v>
          </cell>
          <cell r="HG4">
            <v>3875</v>
          </cell>
          <cell r="HH4">
            <v>3741</v>
          </cell>
          <cell r="HI4">
            <v>3780</v>
          </cell>
          <cell r="HJ4">
            <v>4023</v>
          </cell>
          <cell r="HK4">
            <v>4081</v>
          </cell>
          <cell r="HL4">
            <v>4008</v>
          </cell>
          <cell r="HM4">
            <v>3762</v>
          </cell>
          <cell r="HN4">
            <v>3574</v>
          </cell>
          <cell r="HO4">
            <v>3267</v>
          </cell>
          <cell r="HP4">
            <v>3068</v>
          </cell>
          <cell r="HQ4">
            <v>3069</v>
          </cell>
          <cell r="HR4">
            <v>3087</v>
          </cell>
          <cell r="HS4">
            <v>2878</v>
          </cell>
          <cell r="HT4">
            <v>2787</v>
          </cell>
          <cell r="HU4">
            <v>2814</v>
          </cell>
          <cell r="HV4">
            <v>3074</v>
          </cell>
          <cell r="HW4">
            <v>3149</v>
          </cell>
          <cell r="HX4">
            <v>3107</v>
          </cell>
          <cell r="HY4">
            <v>2984</v>
          </cell>
          <cell r="HZ4">
            <v>2870</v>
          </cell>
          <cell r="IA4">
            <v>2792</v>
          </cell>
          <cell r="IB4">
            <v>2642</v>
          </cell>
          <cell r="IC4">
            <v>2731</v>
          </cell>
          <cell r="ID4">
            <v>2855</v>
          </cell>
          <cell r="IE4">
            <v>2817</v>
          </cell>
          <cell r="IF4">
            <v>2815</v>
          </cell>
          <cell r="IG4">
            <v>2963</v>
          </cell>
          <cell r="IH4">
            <v>3295</v>
          </cell>
        </row>
        <row r="5">
          <cell r="FC5">
            <v>4140</v>
          </cell>
          <cell r="FD5">
            <v>4104</v>
          </cell>
          <cell r="FE5">
            <v>4011</v>
          </cell>
          <cell r="FF5">
            <v>3835</v>
          </cell>
          <cell r="FG5">
            <v>3734</v>
          </cell>
          <cell r="FH5">
            <v>3635</v>
          </cell>
          <cell r="FI5">
            <v>3652</v>
          </cell>
          <cell r="FJ5">
            <v>3560</v>
          </cell>
          <cell r="FK5">
            <v>3559</v>
          </cell>
          <cell r="FL5">
            <v>3559</v>
          </cell>
          <cell r="FM5">
            <v>3718</v>
          </cell>
          <cell r="FN5">
            <v>3819</v>
          </cell>
          <cell r="FO5">
            <v>3748</v>
          </cell>
          <cell r="FP5">
            <v>3649</v>
          </cell>
          <cell r="FQ5">
            <v>3604</v>
          </cell>
          <cell r="FR5">
            <v>3451</v>
          </cell>
          <cell r="FS5">
            <v>3273</v>
          </cell>
          <cell r="FT5">
            <v>3118</v>
          </cell>
          <cell r="FU5">
            <v>3106</v>
          </cell>
          <cell r="FV5">
            <v>3046</v>
          </cell>
          <cell r="FW5">
            <v>2980</v>
          </cell>
          <cell r="FX5">
            <v>3021</v>
          </cell>
          <cell r="FY5">
            <v>3219</v>
          </cell>
          <cell r="FZ5">
            <v>3338</v>
          </cell>
          <cell r="GA5">
            <v>3348</v>
          </cell>
          <cell r="GB5">
            <v>3302</v>
          </cell>
          <cell r="GC5">
            <v>3221</v>
          </cell>
          <cell r="GD5">
            <v>3089</v>
          </cell>
          <cell r="GE5">
            <v>2972</v>
          </cell>
          <cell r="GF5">
            <v>2915</v>
          </cell>
          <cell r="GG5">
            <v>2915</v>
          </cell>
          <cell r="GH5">
            <v>2853</v>
          </cell>
          <cell r="GI5">
            <v>2887</v>
          </cell>
          <cell r="GJ5">
            <v>3000</v>
          </cell>
          <cell r="GK5">
            <v>3187</v>
          </cell>
          <cell r="GL5">
            <v>3363</v>
          </cell>
          <cell r="GM5">
            <v>3408</v>
          </cell>
          <cell r="GN5">
            <v>3313</v>
          </cell>
          <cell r="GO5">
            <v>3648</v>
          </cell>
          <cell r="GP5">
            <v>3927</v>
          </cell>
          <cell r="GQ5">
            <v>4032</v>
          </cell>
          <cell r="GR5">
            <v>4099</v>
          </cell>
          <cell r="GS5">
            <v>4265</v>
          </cell>
          <cell r="GT5">
            <v>4246</v>
          </cell>
          <cell r="GU5">
            <v>4266</v>
          </cell>
          <cell r="GV5">
            <v>4340</v>
          </cell>
          <cell r="GW5">
            <v>4570</v>
          </cell>
          <cell r="GX5">
            <v>4783</v>
          </cell>
          <cell r="GY5">
            <v>4761</v>
          </cell>
          <cell r="GZ5">
            <v>4727</v>
          </cell>
          <cell r="HA5">
            <v>4637</v>
          </cell>
          <cell r="HB5">
            <v>4498</v>
          </cell>
          <cell r="HC5">
            <v>4366</v>
          </cell>
          <cell r="HD5">
            <v>4220</v>
          </cell>
          <cell r="HE5">
            <v>4029</v>
          </cell>
          <cell r="HF5">
            <v>3941</v>
          </cell>
          <cell r="HG5">
            <v>3855</v>
          </cell>
          <cell r="HH5">
            <v>3788</v>
          </cell>
          <cell r="HI5">
            <v>3885</v>
          </cell>
          <cell r="HJ5">
            <v>4001</v>
          </cell>
          <cell r="HK5">
            <v>3922</v>
          </cell>
          <cell r="HL5">
            <v>3874</v>
          </cell>
          <cell r="HM5">
            <v>3754</v>
          </cell>
          <cell r="HN5">
            <v>3528</v>
          </cell>
          <cell r="HO5">
            <v>3324</v>
          </cell>
          <cell r="HP5">
            <v>3187</v>
          </cell>
          <cell r="HQ5">
            <v>3090</v>
          </cell>
          <cell r="HR5">
            <v>2953</v>
          </cell>
          <cell r="HS5">
            <v>2806</v>
          </cell>
          <cell r="HT5">
            <v>2824</v>
          </cell>
          <cell r="HU5">
            <v>2900</v>
          </cell>
          <cell r="HV5">
            <v>2966</v>
          </cell>
          <cell r="HW5">
            <v>2945</v>
          </cell>
          <cell r="HX5">
            <v>2936</v>
          </cell>
          <cell r="HY5">
            <v>2853</v>
          </cell>
          <cell r="HZ5">
            <v>2743</v>
          </cell>
          <cell r="IA5">
            <v>2698</v>
          </cell>
          <cell r="IB5">
            <v>2620</v>
          </cell>
          <cell r="IC5">
            <v>2671</v>
          </cell>
          <cell r="ID5">
            <v>2670</v>
          </cell>
          <cell r="IE5">
            <v>2626</v>
          </cell>
          <cell r="IF5">
            <v>2771</v>
          </cell>
          <cell r="IG5">
            <v>2982</v>
          </cell>
          <cell r="IH5">
            <v>3086</v>
          </cell>
        </row>
        <row r="6">
          <cell r="FC6">
            <v>3169</v>
          </cell>
          <cell r="FD6">
            <v>3156</v>
          </cell>
          <cell r="FE6">
            <v>3166</v>
          </cell>
          <cell r="FF6">
            <v>3085</v>
          </cell>
          <cell r="FG6">
            <v>3072</v>
          </cell>
          <cell r="FH6">
            <v>3035</v>
          </cell>
          <cell r="FI6">
            <v>3094</v>
          </cell>
          <cell r="FJ6">
            <v>3097</v>
          </cell>
          <cell r="FK6">
            <v>3069</v>
          </cell>
          <cell r="FL6">
            <v>3001</v>
          </cell>
          <cell r="FM6">
            <v>3023</v>
          </cell>
          <cell r="FN6">
            <v>3028</v>
          </cell>
          <cell r="FO6">
            <v>3097</v>
          </cell>
          <cell r="FP6">
            <v>3110</v>
          </cell>
          <cell r="FQ6">
            <v>3060</v>
          </cell>
          <cell r="FR6">
            <v>2973</v>
          </cell>
          <cell r="FS6">
            <v>2881</v>
          </cell>
          <cell r="FT6">
            <v>2746</v>
          </cell>
          <cell r="FU6">
            <v>2774</v>
          </cell>
          <cell r="FV6">
            <v>2783</v>
          </cell>
          <cell r="FW6">
            <v>2798</v>
          </cell>
          <cell r="FX6">
            <v>2804</v>
          </cell>
          <cell r="FY6">
            <v>2793</v>
          </cell>
          <cell r="FZ6">
            <v>2792</v>
          </cell>
          <cell r="GA6">
            <v>2759</v>
          </cell>
          <cell r="GB6">
            <v>2682</v>
          </cell>
          <cell r="GC6">
            <v>2665</v>
          </cell>
          <cell r="GD6">
            <v>2626</v>
          </cell>
          <cell r="GE6">
            <v>2608</v>
          </cell>
          <cell r="GF6">
            <v>2560</v>
          </cell>
          <cell r="GG6">
            <v>2585</v>
          </cell>
          <cell r="GH6">
            <v>2537</v>
          </cell>
          <cell r="GI6">
            <v>2574</v>
          </cell>
          <cell r="GJ6">
            <v>2611</v>
          </cell>
          <cell r="GK6">
            <v>2656</v>
          </cell>
          <cell r="GL6">
            <v>2696</v>
          </cell>
          <cell r="GM6">
            <v>2685</v>
          </cell>
          <cell r="GN6">
            <v>2631</v>
          </cell>
          <cell r="GO6">
            <v>2884</v>
          </cell>
          <cell r="GP6">
            <v>3122</v>
          </cell>
          <cell r="GQ6">
            <v>3219</v>
          </cell>
          <cell r="GR6">
            <v>3386</v>
          </cell>
          <cell r="GS6">
            <v>3522</v>
          </cell>
          <cell r="GT6">
            <v>3577</v>
          </cell>
          <cell r="GU6">
            <v>3574</v>
          </cell>
          <cell r="GV6">
            <v>3607</v>
          </cell>
          <cell r="GW6">
            <v>3692</v>
          </cell>
          <cell r="GX6">
            <v>3776</v>
          </cell>
          <cell r="GY6">
            <v>3813</v>
          </cell>
          <cell r="GZ6">
            <v>3799</v>
          </cell>
          <cell r="HA6">
            <v>3807</v>
          </cell>
          <cell r="HB6">
            <v>3772</v>
          </cell>
          <cell r="HC6">
            <v>3753</v>
          </cell>
          <cell r="HD6">
            <v>3678</v>
          </cell>
          <cell r="HE6">
            <v>3590</v>
          </cell>
          <cell r="HF6">
            <v>3506</v>
          </cell>
          <cell r="HG6">
            <v>3415</v>
          </cell>
          <cell r="HH6">
            <v>3345</v>
          </cell>
          <cell r="HI6">
            <v>3408</v>
          </cell>
          <cell r="HJ6">
            <v>3337</v>
          </cell>
          <cell r="HK6">
            <v>3286</v>
          </cell>
          <cell r="HL6">
            <v>3245</v>
          </cell>
          <cell r="HM6">
            <v>3144</v>
          </cell>
          <cell r="HN6">
            <v>3008</v>
          </cell>
          <cell r="HO6">
            <v>2937</v>
          </cell>
          <cell r="HP6">
            <v>2828</v>
          </cell>
          <cell r="HQ6">
            <v>2753</v>
          </cell>
          <cell r="HR6">
            <v>2704</v>
          </cell>
          <cell r="HS6">
            <v>2616</v>
          </cell>
          <cell r="HT6">
            <v>2569</v>
          </cell>
          <cell r="HU6">
            <v>2547</v>
          </cell>
          <cell r="HV6">
            <v>2500</v>
          </cell>
          <cell r="HW6">
            <v>2497</v>
          </cell>
          <cell r="HX6">
            <v>2511</v>
          </cell>
          <cell r="HY6">
            <v>2462</v>
          </cell>
          <cell r="HZ6">
            <v>2367</v>
          </cell>
          <cell r="IA6">
            <v>2303</v>
          </cell>
          <cell r="IB6">
            <v>2300</v>
          </cell>
          <cell r="IC6">
            <v>2337</v>
          </cell>
          <cell r="ID6">
            <v>2328</v>
          </cell>
          <cell r="IE6">
            <v>2310</v>
          </cell>
          <cell r="IF6">
            <v>2319</v>
          </cell>
          <cell r="IG6">
            <v>2426</v>
          </cell>
          <cell r="IH6">
            <v>2445</v>
          </cell>
        </row>
        <row r="7">
          <cell r="FC7">
            <v>3950</v>
          </cell>
          <cell r="FD7">
            <v>3900</v>
          </cell>
          <cell r="FE7">
            <v>3897</v>
          </cell>
          <cell r="FF7">
            <v>3765</v>
          </cell>
          <cell r="FG7">
            <v>3687</v>
          </cell>
          <cell r="FH7">
            <v>3646</v>
          </cell>
          <cell r="FI7">
            <v>3760</v>
          </cell>
          <cell r="FJ7">
            <v>3711</v>
          </cell>
          <cell r="FK7">
            <v>3701</v>
          </cell>
          <cell r="FL7">
            <v>3636</v>
          </cell>
          <cell r="FM7">
            <v>3673</v>
          </cell>
          <cell r="FN7">
            <v>3673</v>
          </cell>
          <cell r="FO7">
            <v>3674</v>
          </cell>
          <cell r="FP7">
            <v>3639</v>
          </cell>
          <cell r="FQ7">
            <v>3557</v>
          </cell>
          <cell r="FR7">
            <v>3457</v>
          </cell>
          <cell r="FS7">
            <v>3327</v>
          </cell>
          <cell r="FT7">
            <v>3232</v>
          </cell>
          <cell r="FU7">
            <v>3252</v>
          </cell>
          <cell r="FV7">
            <v>3197</v>
          </cell>
          <cell r="FW7">
            <v>3139</v>
          </cell>
          <cell r="FX7">
            <v>3133</v>
          </cell>
          <cell r="FY7">
            <v>3190</v>
          </cell>
          <cell r="FZ7">
            <v>3222</v>
          </cell>
          <cell r="GA7">
            <v>3188</v>
          </cell>
          <cell r="GB7">
            <v>3104</v>
          </cell>
          <cell r="GC7">
            <v>3007</v>
          </cell>
          <cell r="GD7">
            <v>2931</v>
          </cell>
          <cell r="GE7">
            <v>2859</v>
          </cell>
          <cell r="GF7">
            <v>2844</v>
          </cell>
          <cell r="GG7">
            <v>2916</v>
          </cell>
          <cell r="GH7">
            <v>2843</v>
          </cell>
          <cell r="GI7">
            <v>2839</v>
          </cell>
          <cell r="GJ7">
            <v>2860</v>
          </cell>
          <cell r="GK7">
            <v>2974</v>
          </cell>
          <cell r="GL7">
            <v>3077</v>
          </cell>
          <cell r="GM7">
            <v>3079</v>
          </cell>
          <cell r="GN7">
            <v>3001</v>
          </cell>
          <cell r="GO7">
            <v>3383</v>
          </cell>
          <cell r="GP7">
            <v>3734</v>
          </cell>
          <cell r="GQ7">
            <v>3890</v>
          </cell>
          <cell r="GR7">
            <v>4028</v>
          </cell>
          <cell r="GS7">
            <v>4205</v>
          </cell>
          <cell r="GT7">
            <v>4128</v>
          </cell>
          <cell r="GU7">
            <v>4081</v>
          </cell>
          <cell r="GV7">
            <v>4124</v>
          </cell>
          <cell r="GW7">
            <v>4244</v>
          </cell>
          <cell r="GX7">
            <v>4363</v>
          </cell>
          <cell r="GY7">
            <v>4330</v>
          </cell>
          <cell r="GZ7">
            <v>4316</v>
          </cell>
          <cell r="HA7">
            <v>4257</v>
          </cell>
          <cell r="HB7">
            <v>4157</v>
          </cell>
          <cell r="HC7">
            <v>4069</v>
          </cell>
          <cell r="HD7">
            <v>3962</v>
          </cell>
          <cell r="HE7">
            <v>3821</v>
          </cell>
          <cell r="HF7">
            <v>3674</v>
          </cell>
          <cell r="HG7">
            <v>3558</v>
          </cell>
          <cell r="HH7">
            <v>3502</v>
          </cell>
          <cell r="HI7">
            <v>3583</v>
          </cell>
          <cell r="HJ7">
            <v>3563</v>
          </cell>
          <cell r="HK7">
            <v>3486</v>
          </cell>
          <cell r="HL7">
            <v>3417</v>
          </cell>
          <cell r="HM7">
            <v>3320</v>
          </cell>
          <cell r="HN7">
            <v>3154</v>
          </cell>
          <cell r="HO7">
            <v>3005</v>
          </cell>
          <cell r="HP7">
            <v>2916</v>
          </cell>
          <cell r="HQ7">
            <v>2883</v>
          </cell>
          <cell r="HR7">
            <v>2785</v>
          </cell>
          <cell r="HS7">
            <v>2661</v>
          </cell>
          <cell r="HT7">
            <v>2656</v>
          </cell>
          <cell r="HU7">
            <v>2641</v>
          </cell>
          <cell r="HV7">
            <v>2610</v>
          </cell>
          <cell r="HW7">
            <v>2571</v>
          </cell>
          <cell r="HX7">
            <v>2549</v>
          </cell>
          <cell r="HY7">
            <v>2515</v>
          </cell>
          <cell r="HZ7">
            <v>2422</v>
          </cell>
          <cell r="IA7">
            <v>2350</v>
          </cell>
          <cell r="IB7">
            <v>2326</v>
          </cell>
          <cell r="IC7">
            <v>2429</v>
          </cell>
          <cell r="ID7">
            <v>2386</v>
          </cell>
          <cell r="IE7">
            <v>2329</v>
          </cell>
          <cell r="IF7">
            <v>2365</v>
          </cell>
          <cell r="IG7">
            <v>2495</v>
          </cell>
          <cell r="IH7">
            <v>2530</v>
          </cell>
        </row>
        <row r="8">
          <cell r="FC8">
            <v>3359</v>
          </cell>
          <cell r="FD8">
            <v>3360</v>
          </cell>
          <cell r="FE8">
            <v>3280</v>
          </cell>
          <cell r="FF8">
            <v>3155</v>
          </cell>
          <cell r="FG8">
            <v>3119</v>
          </cell>
          <cell r="FH8">
            <v>3024</v>
          </cell>
          <cell r="FI8">
            <v>2986</v>
          </cell>
          <cell r="FJ8">
            <v>2946</v>
          </cell>
          <cell r="FK8">
            <v>2927</v>
          </cell>
          <cell r="FL8">
            <v>2924</v>
          </cell>
          <cell r="FM8">
            <v>3068</v>
          </cell>
          <cell r="FN8">
            <v>3174</v>
          </cell>
          <cell r="FO8">
            <v>3171</v>
          </cell>
          <cell r="FP8">
            <v>3120</v>
          </cell>
          <cell r="FQ8">
            <v>3107</v>
          </cell>
          <cell r="FR8">
            <v>2967</v>
          </cell>
          <cell r="FS8">
            <v>2827</v>
          </cell>
          <cell r="FT8">
            <v>2632</v>
          </cell>
          <cell r="FU8">
            <v>2628</v>
          </cell>
          <cell r="FV8">
            <v>2632</v>
          </cell>
          <cell r="FW8">
            <v>2639</v>
          </cell>
          <cell r="FX8">
            <v>2692</v>
          </cell>
          <cell r="FY8">
            <v>2822</v>
          </cell>
          <cell r="FZ8">
            <v>2908</v>
          </cell>
          <cell r="GA8">
            <v>2919</v>
          </cell>
          <cell r="GB8">
            <v>2880</v>
          </cell>
          <cell r="GC8">
            <v>2879</v>
          </cell>
          <cell r="GD8">
            <v>2784</v>
          </cell>
          <cell r="GE8">
            <v>2721</v>
          </cell>
          <cell r="GF8">
            <v>2631</v>
          </cell>
          <cell r="GG8">
            <v>2584</v>
          </cell>
          <cell r="GH8">
            <v>2547</v>
          </cell>
          <cell r="GI8">
            <v>2622</v>
          </cell>
          <cell r="GJ8">
            <v>2751</v>
          </cell>
          <cell r="GK8">
            <v>2869</v>
          </cell>
          <cell r="GL8">
            <v>2982</v>
          </cell>
          <cell r="GM8">
            <v>3014</v>
          </cell>
          <cell r="GN8">
            <v>2943</v>
          </cell>
          <cell r="GO8">
            <v>3149</v>
          </cell>
          <cell r="GP8">
            <v>3315</v>
          </cell>
          <cell r="GQ8">
            <v>3361</v>
          </cell>
          <cell r="GR8">
            <v>3457</v>
          </cell>
          <cell r="GS8">
            <v>3582</v>
          </cell>
          <cell r="GT8">
            <v>3695</v>
          </cell>
          <cell r="GU8">
            <v>3759</v>
          </cell>
          <cell r="GV8">
            <v>3823</v>
          </cell>
          <cell r="GW8">
            <v>4018</v>
          </cell>
          <cell r="GX8">
            <v>4196</v>
          </cell>
          <cell r="GY8">
            <v>4244</v>
          </cell>
          <cell r="GZ8">
            <v>4210</v>
          </cell>
          <cell r="HA8">
            <v>4187</v>
          </cell>
          <cell r="HB8">
            <v>4113</v>
          </cell>
          <cell r="HC8">
            <v>4050</v>
          </cell>
          <cell r="HD8">
            <v>3936</v>
          </cell>
          <cell r="HE8">
            <v>3861</v>
          </cell>
          <cell r="HF8">
            <v>3773</v>
          </cell>
          <cell r="HG8">
            <v>3712</v>
          </cell>
          <cell r="HH8">
            <v>3631</v>
          </cell>
          <cell r="HI8">
            <v>3710</v>
          </cell>
          <cell r="HJ8">
            <v>3775</v>
          </cell>
          <cell r="HK8">
            <v>3722</v>
          </cell>
          <cell r="HL8">
            <v>3702</v>
          </cell>
          <cell r="HM8">
            <v>3578</v>
          </cell>
          <cell r="HN8">
            <v>3382</v>
          </cell>
          <cell r="HO8">
            <v>3256</v>
          </cell>
          <cell r="HP8">
            <v>3099</v>
          </cell>
          <cell r="HQ8">
            <v>2960</v>
          </cell>
          <cell r="HR8">
            <v>2872</v>
          </cell>
          <cell r="HS8">
            <v>2761</v>
          </cell>
          <cell r="HT8">
            <v>2737</v>
          </cell>
          <cell r="HU8">
            <v>2806</v>
          </cell>
          <cell r="HV8">
            <v>2856</v>
          </cell>
          <cell r="HW8">
            <v>2871</v>
          </cell>
          <cell r="HX8">
            <v>2898</v>
          </cell>
          <cell r="HY8">
            <v>2800</v>
          </cell>
          <cell r="HZ8">
            <v>2688</v>
          </cell>
          <cell r="IA8">
            <v>2651</v>
          </cell>
          <cell r="IB8">
            <v>2594</v>
          </cell>
          <cell r="IC8">
            <v>2579</v>
          </cell>
          <cell r="ID8">
            <v>2612</v>
          </cell>
          <cell r="IE8">
            <v>2607</v>
          </cell>
          <cell r="IF8">
            <v>2725</v>
          </cell>
          <cell r="IG8">
            <v>2913</v>
          </cell>
          <cell r="IH8">
            <v>3001</v>
          </cell>
        </row>
        <row r="10">
          <cell r="FC10">
            <v>296</v>
          </cell>
          <cell r="FD10">
            <v>291</v>
          </cell>
          <cell r="FE10">
            <v>274</v>
          </cell>
          <cell r="FF10">
            <v>246</v>
          </cell>
          <cell r="FG10">
            <v>232</v>
          </cell>
          <cell r="FH10">
            <v>239</v>
          </cell>
          <cell r="FI10">
            <v>333</v>
          </cell>
          <cell r="FJ10">
            <v>339</v>
          </cell>
          <cell r="FK10">
            <v>317</v>
          </cell>
          <cell r="FL10">
            <v>289</v>
          </cell>
          <cell r="FM10">
            <v>268</v>
          </cell>
          <cell r="FN10">
            <v>254</v>
          </cell>
          <cell r="FO10">
            <v>269</v>
          </cell>
          <cell r="FP10">
            <v>279</v>
          </cell>
          <cell r="FQ10">
            <v>256</v>
          </cell>
          <cell r="FR10">
            <v>228</v>
          </cell>
          <cell r="FS10">
            <v>204</v>
          </cell>
          <cell r="FT10">
            <v>209</v>
          </cell>
          <cell r="FU10">
            <v>249</v>
          </cell>
          <cell r="FV10">
            <v>302</v>
          </cell>
          <cell r="FW10">
            <v>275</v>
          </cell>
          <cell r="FX10">
            <v>264</v>
          </cell>
          <cell r="FY10">
            <v>275</v>
          </cell>
          <cell r="FZ10">
            <v>278</v>
          </cell>
          <cell r="GA10">
            <v>272</v>
          </cell>
          <cell r="GB10">
            <v>254</v>
          </cell>
          <cell r="GC10">
            <v>236</v>
          </cell>
          <cell r="GD10">
            <v>208</v>
          </cell>
          <cell r="GE10">
            <v>186</v>
          </cell>
          <cell r="GF10">
            <v>193</v>
          </cell>
          <cell r="GG10">
            <v>247</v>
          </cell>
          <cell r="GH10">
            <v>272</v>
          </cell>
          <cell r="GI10">
            <v>271</v>
          </cell>
          <cell r="GJ10">
            <v>270</v>
          </cell>
          <cell r="GK10">
            <v>259</v>
          </cell>
          <cell r="GL10">
            <v>250</v>
          </cell>
          <cell r="GM10">
            <v>249</v>
          </cell>
          <cell r="GN10">
            <v>223</v>
          </cell>
          <cell r="GO10">
            <v>219</v>
          </cell>
          <cell r="GP10">
            <v>223</v>
          </cell>
          <cell r="GQ10">
            <v>238</v>
          </cell>
          <cell r="GR10">
            <v>254</v>
          </cell>
          <cell r="GS10">
            <v>338</v>
          </cell>
          <cell r="GT10">
            <v>324</v>
          </cell>
          <cell r="GU10">
            <v>307</v>
          </cell>
          <cell r="GV10">
            <v>309</v>
          </cell>
          <cell r="GW10">
            <v>304</v>
          </cell>
          <cell r="GX10">
            <v>290</v>
          </cell>
          <cell r="GY10">
            <v>282</v>
          </cell>
          <cell r="GZ10">
            <v>267</v>
          </cell>
          <cell r="HA10">
            <v>265</v>
          </cell>
          <cell r="HB10">
            <v>242</v>
          </cell>
          <cell r="HC10">
            <v>241</v>
          </cell>
          <cell r="HD10">
            <v>226</v>
          </cell>
          <cell r="HE10">
            <v>275</v>
          </cell>
          <cell r="HF10">
            <v>236</v>
          </cell>
          <cell r="HG10">
            <v>216</v>
          </cell>
          <cell r="HH10">
            <v>208</v>
          </cell>
          <cell r="HI10">
            <v>203</v>
          </cell>
          <cell r="HJ10">
            <v>197</v>
          </cell>
          <cell r="HK10">
            <v>208</v>
          </cell>
          <cell r="HL10">
            <v>201</v>
          </cell>
          <cell r="HM10">
            <v>187</v>
          </cell>
          <cell r="HN10">
            <v>162</v>
          </cell>
          <cell r="HO10">
            <v>150</v>
          </cell>
          <cell r="HP10">
            <v>134</v>
          </cell>
          <cell r="HQ10">
            <v>143</v>
          </cell>
          <cell r="HR10">
            <v>178</v>
          </cell>
          <cell r="HS10">
            <v>159</v>
          </cell>
          <cell r="HT10">
            <v>158</v>
          </cell>
          <cell r="HU10">
            <v>151</v>
          </cell>
          <cell r="HV10">
            <v>152</v>
          </cell>
          <cell r="HW10">
            <v>156</v>
          </cell>
          <cell r="HX10">
            <v>164</v>
          </cell>
          <cell r="HY10">
            <v>155</v>
          </cell>
          <cell r="HZ10">
            <v>152</v>
          </cell>
          <cell r="IA10">
            <v>143</v>
          </cell>
          <cell r="IB10">
            <v>138</v>
          </cell>
          <cell r="IC10">
            <v>176</v>
          </cell>
          <cell r="ID10">
            <v>173</v>
          </cell>
          <cell r="IE10">
            <v>165</v>
          </cell>
          <cell r="IF10">
            <v>179</v>
          </cell>
          <cell r="IG10">
            <v>187</v>
          </cell>
          <cell r="IH10">
            <v>188</v>
          </cell>
        </row>
        <row r="11">
          <cell r="FC11">
            <v>709</v>
          </cell>
          <cell r="FD11">
            <v>692</v>
          </cell>
          <cell r="FE11">
            <v>659</v>
          </cell>
          <cell r="FF11">
            <v>619</v>
          </cell>
          <cell r="FG11">
            <v>583</v>
          </cell>
          <cell r="FH11">
            <v>544</v>
          </cell>
          <cell r="FI11">
            <v>579</v>
          </cell>
          <cell r="FJ11">
            <v>572</v>
          </cell>
          <cell r="FK11">
            <v>565</v>
          </cell>
          <cell r="FL11">
            <v>551</v>
          </cell>
          <cell r="FM11">
            <v>572</v>
          </cell>
          <cell r="FN11">
            <v>590</v>
          </cell>
          <cell r="FO11">
            <v>612</v>
          </cell>
          <cell r="FP11">
            <v>618</v>
          </cell>
          <cell r="FQ11">
            <v>585</v>
          </cell>
          <cell r="FR11">
            <v>563</v>
          </cell>
          <cell r="FS11">
            <v>517</v>
          </cell>
          <cell r="FT11">
            <v>478</v>
          </cell>
          <cell r="FU11">
            <v>512</v>
          </cell>
          <cell r="FV11">
            <v>539</v>
          </cell>
          <cell r="FW11">
            <v>504</v>
          </cell>
          <cell r="FX11">
            <v>499</v>
          </cell>
          <cell r="FY11">
            <v>518</v>
          </cell>
          <cell r="FZ11">
            <v>515</v>
          </cell>
          <cell r="GA11">
            <v>510</v>
          </cell>
          <cell r="GB11">
            <v>509</v>
          </cell>
          <cell r="GC11">
            <v>500</v>
          </cell>
          <cell r="GD11">
            <v>460</v>
          </cell>
          <cell r="GE11">
            <v>442</v>
          </cell>
          <cell r="GF11">
            <v>436</v>
          </cell>
          <cell r="GG11">
            <v>467</v>
          </cell>
          <cell r="GH11">
            <v>453</v>
          </cell>
          <cell r="GI11">
            <v>454</v>
          </cell>
          <cell r="GJ11">
            <v>475</v>
          </cell>
          <cell r="GK11">
            <v>496</v>
          </cell>
          <cell r="GL11">
            <v>510</v>
          </cell>
          <cell r="GM11">
            <v>493</v>
          </cell>
          <cell r="GN11">
            <v>460</v>
          </cell>
          <cell r="GO11">
            <v>560</v>
          </cell>
          <cell r="GP11">
            <v>677</v>
          </cell>
          <cell r="GQ11">
            <v>688</v>
          </cell>
          <cell r="GR11">
            <v>712</v>
          </cell>
          <cell r="GS11">
            <v>763</v>
          </cell>
          <cell r="GT11">
            <v>769</v>
          </cell>
          <cell r="GU11">
            <v>713</v>
          </cell>
          <cell r="GV11">
            <v>691</v>
          </cell>
          <cell r="GW11">
            <v>712</v>
          </cell>
          <cell r="GX11">
            <v>740</v>
          </cell>
          <cell r="GY11">
            <v>739</v>
          </cell>
          <cell r="GZ11">
            <v>710</v>
          </cell>
          <cell r="HA11">
            <v>685</v>
          </cell>
          <cell r="HB11">
            <v>638</v>
          </cell>
          <cell r="HC11">
            <v>609</v>
          </cell>
          <cell r="HD11">
            <v>585</v>
          </cell>
          <cell r="HE11">
            <v>598</v>
          </cell>
          <cell r="HF11">
            <v>578</v>
          </cell>
          <cell r="HG11">
            <v>533</v>
          </cell>
          <cell r="HH11">
            <v>510</v>
          </cell>
          <cell r="HI11">
            <v>502</v>
          </cell>
          <cell r="HJ11">
            <v>517</v>
          </cell>
          <cell r="HK11">
            <v>505</v>
          </cell>
          <cell r="HL11">
            <v>500</v>
          </cell>
          <cell r="HM11">
            <v>462</v>
          </cell>
          <cell r="HN11">
            <v>440</v>
          </cell>
          <cell r="HO11">
            <v>400</v>
          </cell>
          <cell r="HP11">
            <v>374</v>
          </cell>
          <cell r="HQ11">
            <v>385</v>
          </cell>
          <cell r="HR11">
            <v>348</v>
          </cell>
          <cell r="HS11">
            <v>330</v>
          </cell>
          <cell r="HT11">
            <v>334</v>
          </cell>
          <cell r="HU11">
            <v>333</v>
          </cell>
          <cell r="HV11">
            <v>333</v>
          </cell>
          <cell r="HW11">
            <v>330</v>
          </cell>
          <cell r="HX11">
            <v>353</v>
          </cell>
          <cell r="HY11">
            <v>373</v>
          </cell>
          <cell r="HZ11">
            <v>343</v>
          </cell>
          <cell r="IA11">
            <v>346</v>
          </cell>
          <cell r="IB11">
            <v>358</v>
          </cell>
          <cell r="IC11">
            <v>363</v>
          </cell>
          <cell r="ID11">
            <v>355</v>
          </cell>
          <cell r="IE11">
            <v>344</v>
          </cell>
          <cell r="IF11">
            <v>361</v>
          </cell>
          <cell r="IG11">
            <v>375</v>
          </cell>
          <cell r="IH11">
            <v>402</v>
          </cell>
        </row>
        <row r="12">
          <cell r="FC12">
            <v>960</v>
          </cell>
          <cell r="FD12">
            <v>960</v>
          </cell>
          <cell r="FE12">
            <v>941</v>
          </cell>
          <cell r="FF12">
            <v>900</v>
          </cell>
          <cell r="FG12">
            <v>873</v>
          </cell>
          <cell r="FH12">
            <v>838</v>
          </cell>
          <cell r="FI12">
            <v>808</v>
          </cell>
          <cell r="FJ12">
            <v>805</v>
          </cell>
          <cell r="FK12">
            <v>815</v>
          </cell>
          <cell r="FL12">
            <v>827</v>
          </cell>
          <cell r="FM12">
            <v>855</v>
          </cell>
          <cell r="FN12">
            <v>880</v>
          </cell>
          <cell r="FO12">
            <v>880</v>
          </cell>
          <cell r="FP12">
            <v>888</v>
          </cell>
          <cell r="FQ12">
            <v>867</v>
          </cell>
          <cell r="FR12">
            <v>822</v>
          </cell>
          <cell r="FS12">
            <v>769</v>
          </cell>
          <cell r="FT12">
            <v>724</v>
          </cell>
          <cell r="FU12">
            <v>709</v>
          </cell>
          <cell r="FV12">
            <v>684</v>
          </cell>
          <cell r="FW12">
            <v>684</v>
          </cell>
          <cell r="FX12">
            <v>678</v>
          </cell>
          <cell r="FY12">
            <v>733</v>
          </cell>
          <cell r="FZ12">
            <v>774</v>
          </cell>
          <cell r="GA12">
            <v>809</v>
          </cell>
          <cell r="GB12">
            <v>789</v>
          </cell>
          <cell r="GC12">
            <v>760</v>
          </cell>
          <cell r="GD12">
            <v>726</v>
          </cell>
          <cell r="GE12">
            <v>720</v>
          </cell>
          <cell r="GF12">
            <v>704</v>
          </cell>
          <cell r="GG12">
            <v>703</v>
          </cell>
          <cell r="GH12">
            <v>673</v>
          </cell>
          <cell r="GI12">
            <v>679</v>
          </cell>
          <cell r="GJ12">
            <v>695</v>
          </cell>
          <cell r="GK12">
            <v>729</v>
          </cell>
          <cell r="GL12">
            <v>761</v>
          </cell>
          <cell r="GM12">
            <v>742</v>
          </cell>
          <cell r="GN12">
            <v>716</v>
          </cell>
          <cell r="GO12">
            <v>829</v>
          </cell>
          <cell r="GP12">
            <v>946</v>
          </cell>
          <cell r="GQ12">
            <v>981</v>
          </cell>
          <cell r="GR12">
            <v>994</v>
          </cell>
          <cell r="GS12">
            <v>1018</v>
          </cell>
          <cell r="GT12">
            <v>1001</v>
          </cell>
          <cell r="GU12">
            <v>1010</v>
          </cell>
          <cell r="GV12">
            <v>1019</v>
          </cell>
          <cell r="GW12">
            <v>1059</v>
          </cell>
          <cell r="GX12">
            <v>1097</v>
          </cell>
          <cell r="GY12">
            <v>1096</v>
          </cell>
          <cell r="GZ12">
            <v>1090</v>
          </cell>
          <cell r="HA12">
            <v>1037</v>
          </cell>
          <cell r="HB12">
            <v>996</v>
          </cell>
          <cell r="HC12">
            <v>981</v>
          </cell>
          <cell r="HD12">
            <v>924</v>
          </cell>
          <cell r="HE12">
            <v>881</v>
          </cell>
          <cell r="HF12">
            <v>841</v>
          </cell>
          <cell r="HG12">
            <v>814</v>
          </cell>
          <cell r="HH12">
            <v>773</v>
          </cell>
          <cell r="HI12">
            <v>809</v>
          </cell>
          <cell r="HJ12">
            <v>820</v>
          </cell>
          <cell r="HK12">
            <v>818</v>
          </cell>
          <cell r="HL12">
            <v>821</v>
          </cell>
          <cell r="HM12">
            <v>799</v>
          </cell>
          <cell r="HN12">
            <v>755</v>
          </cell>
          <cell r="HO12">
            <v>709</v>
          </cell>
          <cell r="HP12">
            <v>678</v>
          </cell>
          <cell r="HQ12">
            <v>666</v>
          </cell>
          <cell r="HR12">
            <v>632</v>
          </cell>
          <cell r="HS12">
            <v>621</v>
          </cell>
          <cell r="HT12">
            <v>617</v>
          </cell>
          <cell r="HU12">
            <v>615</v>
          </cell>
          <cell r="HV12">
            <v>618</v>
          </cell>
          <cell r="HW12">
            <v>613</v>
          </cell>
          <cell r="HX12">
            <v>603</v>
          </cell>
          <cell r="HY12">
            <v>574</v>
          </cell>
          <cell r="HZ12">
            <v>545</v>
          </cell>
          <cell r="IA12">
            <v>519</v>
          </cell>
          <cell r="IB12">
            <v>532</v>
          </cell>
          <cell r="IC12">
            <v>569</v>
          </cell>
          <cell r="ID12">
            <v>575</v>
          </cell>
          <cell r="IE12">
            <v>568</v>
          </cell>
          <cell r="IF12">
            <v>593</v>
          </cell>
          <cell r="IG12">
            <v>631</v>
          </cell>
          <cell r="IH12">
            <v>658</v>
          </cell>
        </row>
        <row r="13">
          <cell r="FC13">
            <v>1791</v>
          </cell>
          <cell r="FD13">
            <v>1781</v>
          </cell>
          <cell r="FE13">
            <v>1745</v>
          </cell>
          <cell r="FF13">
            <v>1663</v>
          </cell>
          <cell r="FG13">
            <v>1648</v>
          </cell>
          <cell r="FH13">
            <v>1611</v>
          </cell>
          <cell r="FI13">
            <v>1605</v>
          </cell>
          <cell r="FJ13">
            <v>1557</v>
          </cell>
          <cell r="FK13">
            <v>1570</v>
          </cell>
          <cell r="FL13">
            <v>1559</v>
          </cell>
          <cell r="FM13">
            <v>1583</v>
          </cell>
          <cell r="FN13">
            <v>1606</v>
          </cell>
          <cell r="FO13">
            <v>1562</v>
          </cell>
          <cell r="FP13">
            <v>1543</v>
          </cell>
          <cell r="FQ13">
            <v>1506</v>
          </cell>
          <cell r="FR13">
            <v>1446</v>
          </cell>
          <cell r="FS13">
            <v>1397</v>
          </cell>
          <cell r="FT13">
            <v>1375</v>
          </cell>
          <cell r="FU13">
            <v>1384</v>
          </cell>
          <cell r="FV13">
            <v>1336</v>
          </cell>
          <cell r="FW13">
            <v>1371</v>
          </cell>
          <cell r="FX13">
            <v>1410</v>
          </cell>
          <cell r="FY13">
            <v>1472</v>
          </cell>
          <cell r="FZ13">
            <v>1499</v>
          </cell>
          <cell r="GA13">
            <v>1456</v>
          </cell>
          <cell r="GB13">
            <v>1420</v>
          </cell>
          <cell r="GC13">
            <v>1405</v>
          </cell>
          <cell r="GD13">
            <v>1384</v>
          </cell>
          <cell r="GE13">
            <v>1381</v>
          </cell>
          <cell r="GF13">
            <v>1329</v>
          </cell>
          <cell r="GG13">
            <v>1319</v>
          </cell>
          <cell r="GH13">
            <v>1288</v>
          </cell>
          <cell r="GI13">
            <v>1313</v>
          </cell>
          <cell r="GJ13">
            <v>1372</v>
          </cell>
          <cell r="GK13">
            <v>1426</v>
          </cell>
          <cell r="GL13">
            <v>1472</v>
          </cell>
          <cell r="GM13">
            <v>1501</v>
          </cell>
          <cell r="GN13">
            <v>1476</v>
          </cell>
          <cell r="GO13">
            <v>1607</v>
          </cell>
          <cell r="GP13">
            <v>1718</v>
          </cell>
          <cell r="GQ13">
            <v>1724</v>
          </cell>
          <cell r="GR13">
            <v>1761</v>
          </cell>
          <cell r="GS13">
            <v>1791</v>
          </cell>
          <cell r="GT13">
            <v>1807</v>
          </cell>
          <cell r="GU13">
            <v>1795</v>
          </cell>
          <cell r="GV13">
            <v>1836</v>
          </cell>
          <cell r="GW13">
            <v>1939</v>
          </cell>
          <cell r="GX13">
            <v>2033</v>
          </cell>
          <cell r="GY13">
            <v>2086</v>
          </cell>
          <cell r="GZ13">
            <v>2090</v>
          </cell>
          <cell r="HA13">
            <v>2070</v>
          </cell>
          <cell r="HB13">
            <v>2036</v>
          </cell>
          <cell r="HC13">
            <v>2014</v>
          </cell>
          <cell r="HD13">
            <v>1969</v>
          </cell>
          <cell r="HE13">
            <v>1874</v>
          </cell>
          <cell r="HF13">
            <v>1842</v>
          </cell>
          <cell r="HG13">
            <v>1809</v>
          </cell>
          <cell r="HH13">
            <v>1784</v>
          </cell>
          <cell r="HI13">
            <v>1852</v>
          </cell>
          <cell r="HJ13">
            <v>1862</v>
          </cell>
          <cell r="HK13">
            <v>1841</v>
          </cell>
          <cell r="HL13">
            <v>1791</v>
          </cell>
          <cell r="HM13">
            <v>1737</v>
          </cell>
          <cell r="HN13">
            <v>1637</v>
          </cell>
          <cell r="HO13">
            <v>1597</v>
          </cell>
          <cell r="HP13">
            <v>1549</v>
          </cell>
          <cell r="HQ13">
            <v>1499</v>
          </cell>
          <cell r="HR13">
            <v>1409</v>
          </cell>
          <cell r="HS13">
            <v>1339</v>
          </cell>
          <cell r="HT13">
            <v>1330</v>
          </cell>
          <cell r="HU13">
            <v>1354</v>
          </cell>
          <cell r="HV13">
            <v>1381</v>
          </cell>
          <cell r="HW13">
            <v>1386</v>
          </cell>
          <cell r="HX13">
            <v>1354</v>
          </cell>
          <cell r="HY13">
            <v>1341</v>
          </cell>
          <cell r="HZ13">
            <v>1312</v>
          </cell>
          <cell r="IA13">
            <v>1311</v>
          </cell>
          <cell r="IB13">
            <v>1299</v>
          </cell>
          <cell r="IC13">
            <v>1314</v>
          </cell>
          <cell r="ID13">
            <v>1302</v>
          </cell>
          <cell r="IE13">
            <v>1285</v>
          </cell>
          <cell r="IF13">
            <v>1279</v>
          </cell>
          <cell r="IG13">
            <v>1365</v>
          </cell>
          <cell r="IH13">
            <v>1377</v>
          </cell>
        </row>
        <row r="14">
          <cell r="FC14">
            <v>1441</v>
          </cell>
          <cell r="FD14">
            <v>1430</v>
          </cell>
          <cell r="FE14">
            <v>1419</v>
          </cell>
          <cell r="FF14">
            <v>1400</v>
          </cell>
          <cell r="FG14">
            <v>1371</v>
          </cell>
          <cell r="FH14">
            <v>1339</v>
          </cell>
          <cell r="FI14">
            <v>1308</v>
          </cell>
          <cell r="FJ14">
            <v>1290</v>
          </cell>
          <cell r="FK14">
            <v>1268</v>
          </cell>
          <cell r="FL14">
            <v>1255</v>
          </cell>
          <cell r="FM14">
            <v>1306</v>
          </cell>
          <cell r="FN14">
            <v>1326</v>
          </cell>
          <cell r="FO14">
            <v>1354</v>
          </cell>
          <cell r="FP14">
            <v>1280</v>
          </cell>
          <cell r="FQ14">
            <v>1280</v>
          </cell>
          <cell r="FR14">
            <v>1242</v>
          </cell>
          <cell r="FS14">
            <v>1197</v>
          </cell>
          <cell r="FT14">
            <v>1166</v>
          </cell>
          <cell r="FU14">
            <v>1154</v>
          </cell>
          <cell r="FV14">
            <v>1148</v>
          </cell>
          <cell r="FW14">
            <v>1157</v>
          </cell>
          <cell r="FX14">
            <v>1146</v>
          </cell>
          <cell r="FY14">
            <v>1172</v>
          </cell>
          <cell r="FZ14">
            <v>1220</v>
          </cell>
          <cell r="GA14">
            <v>1209</v>
          </cell>
          <cell r="GB14">
            <v>1186</v>
          </cell>
          <cell r="GC14">
            <v>1185</v>
          </cell>
          <cell r="GD14">
            <v>1133</v>
          </cell>
          <cell r="GE14">
            <v>1091</v>
          </cell>
          <cell r="GF14">
            <v>1069</v>
          </cell>
          <cell r="GG14">
            <v>1046</v>
          </cell>
          <cell r="GH14">
            <v>1025</v>
          </cell>
          <cell r="GI14">
            <v>1045</v>
          </cell>
          <cell r="GJ14">
            <v>1085</v>
          </cell>
          <cell r="GK14">
            <v>1171</v>
          </cell>
          <cell r="GL14">
            <v>1249</v>
          </cell>
          <cell r="GM14">
            <v>1246</v>
          </cell>
          <cell r="GN14">
            <v>1217</v>
          </cell>
          <cell r="GO14">
            <v>1340</v>
          </cell>
          <cell r="GP14">
            <v>1419</v>
          </cell>
          <cell r="GQ14">
            <v>1461</v>
          </cell>
          <cell r="GR14">
            <v>1490</v>
          </cell>
          <cell r="GS14">
            <v>1548</v>
          </cell>
          <cell r="GT14">
            <v>1570</v>
          </cell>
          <cell r="GU14">
            <v>1608</v>
          </cell>
          <cell r="GV14">
            <v>1626</v>
          </cell>
          <cell r="GW14">
            <v>1675</v>
          </cell>
          <cell r="GX14">
            <v>1759</v>
          </cell>
          <cell r="GY14">
            <v>1739</v>
          </cell>
          <cell r="GZ14">
            <v>1739</v>
          </cell>
          <cell r="HA14">
            <v>1733</v>
          </cell>
          <cell r="HB14">
            <v>1720</v>
          </cell>
          <cell r="HC14">
            <v>1663</v>
          </cell>
          <cell r="HD14">
            <v>1615</v>
          </cell>
          <cell r="HE14">
            <v>1531</v>
          </cell>
          <cell r="HF14">
            <v>1497</v>
          </cell>
          <cell r="HG14">
            <v>1488</v>
          </cell>
          <cell r="HH14">
            <v>1482</v>
          </cell>
          <cell r="HI14">
            <v>1521</v>
          </cell>
          <cell r="HJ14">
            <v>1535</v>
          </cell>
          <cell r="HK14">
            <v>1469</v>
          </cell>
          <cell r="HL14">
            <v>1460</v>
          </cell>
          <cell r="HM14">
            <v>1412</v>
          </cell>
          <cell r="HN14">
            <v>1328</v>
          </cell>
          <cell r="HO14">
            <v>1278</v>
          </cell>
          <cell r="HP14">
            <v>1229</v>
          </cell>
          <cell r="HQ14">
            <v>1147</v>
          </cell>
          <cell r="HR14">
            <v>1127</v>
          </cell>
          <cell r="HS14">
            <v>1077</v>
          </cell>
          <cell r="HT14">
            <v>1084</v>
          </cell>
          <cell r="HU14">
            <v>1101</v>
          </cell>
          <cell r="HV14">
            <v>1113</v>
          </cell>
          <cell r="HW14">
            <v>1130</v>
          </cell>
          <cell r="HX14">
            <v>1153</v>
          </cell>
          <cell r="HY14">
            <v>1103</v>
          </cell>
          <cell r="HZ14">
            <v>1059</v>
          </cell>
          <cell r="IA14">
            <v>1021</v>
          </cell>
          <cell r="IB14">
            <v>987</v>
          </cell>
          <cell r="IC14">
            <v>983</v>
          </cell>
          <cell r="ID14">
            <v>1001</v>
          </cell>
          <cell r="IE14">
            <v>1001</v>
          </cell>
          <cell r="IF14">
            <v>1047</v>
          </cell>
          <cell r="IG14">
            <v>1101</v>
          </cell>
          <cell r="IH14">
            <v>1137</v>
          </cell>
        </row>
        <row r="15">
          <cell r="FC15">
            <v>1545</v>
          </cell>
          <cell r="FD15">
            <v>1541</v>
          </cell>
          <cell r="FE15">
            <v>1576</v>
          </cell>
          <cell r="FF15">
            <v>1540</v>
          </cell>
          <cell r="FG15">
            <v>1531</v>
          </cell>
          <cell r="FH15">
            <v>1533</v>
          </cell>
          <cell r="FI15">
            <v>1539</v>
          </cell>
          <cell r="FJ15">
            <v>1527</v>
          </cell>
          <cell r="FK15">
            <v>1525</v>
          </cell>
          <cell r="FL15">
            <v>1502</v>
          </cell>
          <cell r="FM15">
            <v>1565</v>
          </cell>
          <cell r="FN15">
            <v>1597</v>
          </cell>
          <cell r="FO15">
            <v>1587</v>
          </cell>
          <cell r="FP15">
            <v>1573</v>
          </cell>
          <cell r="FQ15">
            <v>1582</v>
          </cell>
          <cell r="FR15">
            <v>1534</v>
          </cell>
          <cell r="FS15">
            <v>1489</v>
          </cell>
          <cell r="FT15">
            <v>1357</v>
          </cell>
          <cell r="FU15">
            <v>1321</v>
          </cell>
          <cell r="FV15">
            <v>1262</v>
          </cell>
          <cell r="FW15">
            <v>1237</v>
          </cell>
          <cell r="FX15">
            <v>1280</v>
          </cell>
          <cell r="FY15">
            <v>1297</v>
          </cell>
          <cell r="FZ15">
            <v>1290</v>
          </cell>
          <cell r="GA15">
            <v>1299</v>
          </cell>
          <cell r="GB15">
            <v>1289</v>
          </cell>
          <cell r="GC15">
            <v>1274</v>
          </cell>
          <cell r="GD15">
            <v>1266</v>
          </cell>
          <cell r="GE15">
            <v>1246</v>
          </cell>
          <cell r="GF15">
            <v>1219</v>
          </cell>
          <cell r="GG15">
            <v>1188</v>
          </cell>
          <cell r="GH15">
            <v>1162</v>
          </cell>
          <cell r="GI15">
            <v>1163</v>
          </cell>
          <cell r="GJ15">
            <v>1173</v>
          </cell>
          <cell r="GK15">
            <v>1205</v>
          </cell>
          <cell r="GL15">
            <v>1259</v>
          </cell>
          <cell r="GM15">
            <v>1301</v>
          </cell>
          <cell r="GN15">
            <v>1300</v>
          </cell>
          <cell r="GO15">
            <v>1381</v>
          </cell>
          <cell r="GP15">
            <v>1455</v>
          </cell>
          <cell r="GQ15">
            <v>1522</v>
          </cell>
          <cell r="GR15">
            <v>1600</v>
          </cell>
          <cell r="GS15">
            <v>1635</v>
          </cell>
          <cell r="GT15">
            <v>1658</v>
          </cell>
          <cell r="GU15">
            <v>1681</v>
          </cell>
          <cell r="GV15">
            <v>1725</v>
          </cell>
          <cell r="GW15">
            <v>1809</v>
          </cell>
          <cell r="GX15">
            <v>1860</v>
          </cell>
          <cell r="GY15">
            <v>1854</v>
          </cell>
          <cell r="GZ15">
            <v>1835</v>
          </cell>
          <cell r="HA15">
            <v>1846</v>
          </cell>
          <cell r="HB15">
            <v>1817</v>
          </cell>
          <cell r="HC15">
            <v>1785</v>
          </cell>
          <cell r="HD15">
            <v>1751</v>
          </cell>
          <cell r="HE15">
            <v>1712</v>
          </cell>
          <cell r="HF15">
            <v>1660</v>
          </cell>
          <cell r="HG15">
            <v>1617</v>
          </cell>
          <cell r="HH15">
            <v>1580</v>
          </cell>
          <cell r="HI15">
            <v>1603</v>
          </cell>
          <cell r="HJ15">
            <v>1601</v>
          </cell>
          <cell r="HK15">
            <v>1573</v>
          </cell>
          <cell r="HL15">
            <v>1562</v>
          </cell>
          <cell r="HM15">
            <v>1522</v>
          </cell>
          <cell r="HN15">
            <v>1455</v>
          </cell>
          <cell r="HO15">
            <v>1388</v>
          </cell>
          <cell r="HP15">
            <v>1319</v>
          </cell>
          <cell r="HQ15">
            <v>1283</v>
          </cell>
          <cell r="HR15">
            <v>1257</v>
          </cell>
          <cell r="HS15">
            <v>1200</v>
          </cell>
          <cell r="HT15">
            <v>1169</v>
          </cell>
          <cell r="HU15">
            <v>1189</v>
          </cell>
          <cell r="HV15">
            <v>1207</v>
          </cell>
          <cell r="HW15">
            <v>1167</v>
          </cell>
          <cell r="HX15">
            <v>1152</v>
          </cell>
          <cell r="HY15">
            <v>1103</v>
          </cell>
          <cell r="HZ15">
            <v>1055</v>
          </cell>
          <cell r="IA15">
            <v>1023</v>
          </cell>
          <cell r="IB15">
            <v>993</v>
          </cell>
          <cell r="IC15">
            <v>985</v>
          </cell>
          <cell r="ID15">
            <v>980</v>
          </cell>
          <cell r="IE15">
            <v>981</v>
          </cell>
          <cell r="IF15">
            <v>1036</v>
          </cell>
          <cell r="IG15">
            <v>1154</v>
          </cell>
          <cell r="IH15">
            <v>1178</v>
          </cell>
        </row>
        <row r="16">
          <cell r="FC16">
            <v>567</v>
          </cell>
          <cell r="FD16">
            <v>565</v>
          </cell>
          <cell r="FE16">
            <v>563</v>
          </cell>
          <cell r="FF16">
            <v>552</v>
          </cell>
          <cell r="FG16">
            <v>568</v>
          </cell>
          <cell r="FH16">
            <v>566</v>
          </cell>
          <cell r="FI16">
            <v>574</v>
          </cell>
          <cell r="FJ16">
            <v>567</v>
          </cell>
          <cell r="FK16">
            <v>568</v>
          </cell>
          <cell r="FL16">
            <v>577</v>
          </cell>
          <cell r="FM16">
            <v>592</v>
          </cell>
          <cell r="FN16">
            <v>594</v>
          </cell>
          <cell r="FO16">
            <v>581</v>
          </cell>
          <cell r="FP16">
            <v>578</v>
          </cell>
          <cell r="FQ16">
            <v>588</v>
          </cell>
          <cell r="FR16">
            <v>589</v>
          </cell>
          <cell r="FS16">
            <v>581</v>
          </cell>
          <cell r="FT16">
            <v>555</v>
          </cell>
          <cell r="FU16">
            <v>551</v>
          </cell>
          <cell r="FV16">
            <v>558</v>
          </cell>
          <cell r="FW16">
            <v>550</v>
          </cell>
          <cell r="FX16">
            <v>548</v>
          </cell>
          <cell r="FY16">
            <v>545</v>
          </cell>
          <cell r="FZ16">
            <v>554</v>
          </cell>
          <cell r="GA16">
            <v>552</v>
          </cell>
          <cell r="GB16">
            <v>537</v>
          </cell>
          <cell r="GC16">
            <v>526</v>
          </cell>
          <cell r="GD16">
            <v>538</v>
          </cell>
          <cell r="GE16">
            <v>514</v>
          </cell>
          <cell r="GF16">
            <v>525</v>
          </cell>
          <cell r="GG16">
            <v>530</v>
          </cell>
          <cell r="GH16">
            <v>517</v>
          </cell>
          <cell r="GI16">
            <v>536</v>
          </cell>
          <cell r="GJ16">
            <v>541</v>
          </cell>
          <cell r="GK16">
            <v>557</v>
          </cell>
          <cell r="GL16">
            <v>558</v>
          </cell>
          <cell r="GM16">
            <v>561</v>
          </cell>
          <cell r="GN16">
            <v>552</v>
          </cell>
          <cell r="GO16">
            <v>596</v>
          </cell>
          <cell r="GP16">
            <v>611</v>
          </cell>
          <cell r="GQ16">
            <v>637</v>
          </cell>
          <cell r="GR16">
            <v>674</v>
          </cell>
          <cell r="GS16">
            <v>694</v>
          </cell>
          <cell r="GT16">
            <v>694</v>
          </cell>
          <cell r="GU16">
            <v>726</v>
          </cell>
          <cell r="GV16">
            <v>741</v>
          </cell>
          <cell r="GW16">
            <v>764</v>
          </cell>
          <cell r="GX16">
            <v>780</v>
          </cell>
          <cell r="GY16">
            <v>778</v>
          </cell>
          <cell r="GZ16">
            <v>795</v>
          </cell>
          <cell r="HA16">
            <v>808</v>
          </cell>
          <cell r="HB16">
            <v>821</v>
          </cell>
          <cell r="HC16">
            <v>826</v>
          </cell>
          <cell r="HD16">
            <v>828</v>
          </cell>
          <cell r="HE16">
            <v>811</v>
          </cell>
          <cell r="HF16">
            <v>793</v>
          </cell>
          <cell r="HG16">
            <v>793</v>
          </cell>
          <cell r="HH16">
            <v>796</v>
          </cell>
          <cell r="HI16">
            <v>803</v>
          </cell>
          <cell r="HJ16">
            <v>806</v>
          </cell>
          <cell r="HK16">
            <v>794</v>
          </cell>
          <cell r="HL16">
            <v>784</v>
          </cell>
          <cell r="HM16">
            <v>779</v>
          </cell>
          <cell r="HN16">
            <v>759</v>
          </cell>
          <cell r="HO16">
            <v>739</v>
          </cell>
          <cell r="HP16">
            <v>732</v>
          </cell>
          <cell r="HQ16">
            <v>720</v>
          </cell>
          <cell r="HR16">
            <v>706</v>
          </cell>
          <cell r="HS16">
            <v>696</v>
          </cell>
          <cell r="HT16">
            <v>701</v>
          </cell>
          <cell r="HU16">
            <v>704</v>
          </cell>
          <cell r="HV16">
            <v>662</v>
          </cell>
          <cell r="HW16">
            <v>660</v>
          </cell>
          <cell r="HX16">
            <v>668</v>
          </cell>
          <cell r="HY16">
            <v>666</v>
          </cell>
          <cell r="HZ16">
            <v>644</v>
          </cell>
          <cell r="IA16">
            <v>638</v>
          </cell>
          <cell r="IB16">
            <v>613</v>
          </cell>
          <cell r="IC16">
            <v>618</v>
          </cell>
          <cell r="ID16">
            <v>612</v>
          </cell>
          <cell r="IE16">
            <v>592</v>
          </cell>
          <cell r="IF16">
            <v>595</v>
          </cell>
          <cell r="IG16">
            <v>595</v>
          </cell>
          <cell r="IH16">
            <v>591</v>
          </cell>
        </row>
        <row r="19">
          <cell r="FC19">
            <v>1644</v>
          </cell>
          <cell r="FD19">
            <v>1570</v>
          </cell>
          <cell r="FE19">
            <v>1531</v>
          </cell>
          <cell r="FF19">
            <v>1452</v>
          </cell>
          <cell r="FG19">
            <v>1378</v>
          </cell>
          <cell r="FH19">
            <v>1296</v>
          </cell>
          <cell r="FI19">
            <v>1305</v>
          </cell>
          <cell r="FJ19">
            <v>1299</v>
          </cell>
          <cell r="FK19">
            <v>1302</v>
          </cell>
          <cell r="FL19">
            <v>1312</v>
          </cell>
          <cell r="FM19">
            <v>1353</v>
          </cell>
          <cell r="FN19">
            <v>1440</v>
          </cell>
          <cell r="FO19">
            <v>1393</v>
          </cell>
          <cell r="FP19">
            <v>1357</v>
          </cell>
          <cell r="FQ19">
            <v>1337</v>
          </cell>
          <cell r="FR19">
            <v>1144</v>
          </cell>
          <cell r="FS19">
            <v>1003</v>
          </cell>
          <cell r="FT19">
            <v>947</v>
          </cell>
          <cell r="FU19">
            <v>907</v>
          </cell>
          <cell r="FV19">
            <v>932</v>
          </cell>
          <cell r="FW19">
            <v>910</v>
          </cell>
          <cell r="FX19">
            <v>883</v>
          </cell>
          <cell r="FY19">
            <v>903</v>
          </cell>
          <cell r="FZ19">
            <v>947</v>
          </cell>
          <cell r="GA19">
            <v>996</v>
          </cell>
          <cell r="GB19">
            <v>925</v>
          </cell>
          <cell r="GC19">
            <v>893</v>
          </cell>
          <cell r="GD19">
            <v>823</v>
          </cell>
          <cell r="GE19">
            <v>796</v>
          </cell>
          <cell r="GF19">
            <v>766</v>
          </cell>
          <cell r="GG19">
            <v>767</v>
          </cell>
          <cell r="GH19">
            <v>819</v>
          </cell>
          <cell r="GI19">
            <v>851</v>
          </cell>
          <cell r="GJ19">
            <v>865</v>
          </cell>
          <cell r="GK19">
            <v>890</v>
          </cell>
          <cell r="GL19">
            <v>1002</v>
          </cell>
          <cell r="GM19">
            <v>1084</v>
          </cell>
          <cell r="GN19">
            <v>1101</v>
          </cell>
          <cell r="GO19">
            <v>1258</v>
          </cell>
          <cell r="GP19">
            <v>1408</v>
          </cell>
          <cell r="GQ19">
            <v>1425</v>
          </cell>
          <cell r="GR19">
            <v>1448</v>
          </cell>
          <cell r="GS19">
            <v>1461</v>
          </cell>
          <cell r="GT19">
            <v>1568</v>
          </cell>
          <cell r="GU19">
            <v>1537</v>
          </cell>
          <cell r="GV19">
            <v>1578</v>
          </cell>
          <cell r="GW19">
            <v>1582</v>
          </cell>
          <cell r="GX19">
            <v>1666</v>
          </cell>
          <cell r="GY19">
            <v>1769</v>
          </cell>
          <cell r="GZ19">
            <v>1758</v>
          </cell>
          <cell r="HA19">
            <v>1631</v>
          </cell>
          <cell r="HB19">
            <v>1574</v>
          </cell>
          <cell r="HC19">
            <v>1463</v>
          </cell>
          <cell r="HD19">
            <v>1371</v>
          </cell>
          <cell r="HE19">
            <v>1306</v>
          </cell>
          <cell r="HF19">
            <v>1299</v>
          </cell>
          <cell r="HG19">
            <v>1261</v>
          </cell>
          <cell r="HH19">
            <v>1200</v>
          </cell>
          <cell r="HI19">
            <v>1199</v>
          </cell>
          <cell r="HJ19">
            <v>1261</v>
          </cell>
          <cell r="HK19">
            <v>1292</v>
          </cell>
          <cell r="HL19">
            <v>1312</v>
          </cell>
          <cell r="HM19">
            <v>1233</v>
          </cell>
          <cell r="HN19">
            <v>1148</v>
          </cell>
          <cell r="HO19">
            <v>1040</v>
          </cell>
          <cell r="HP19">
            <v>984</v>
          </cell>
          <cell r="HQ19">
            <v>995</v>
          </cell>
          <cell r="HR19">
            <v>985</v>
          </cell>
          <cell r="HS19">
            <v>890</v>
          </cell>
          <cell r="HT19">
            <v>884</v>
          </cell>
          <cell r="HU19">
            <v>884</v>
          </cell>
          <cell r="HV19">
            <v>933</v>
          </cell>
          <cell r="HW19">
            <v>964</v>
          </cell>
          <cell r="HX19">
            <v>923</v>
          </cell>
          <cell r="HY19">
            <v>933</v>
          </cell>
          <cell r="HZ19">
            <v>883</v>
          </cell>
          <cell r="IA19">
            <v>872</v>
          </cell>
          <cell r="IB19">
            <v>812</v>
          </cell>
          <cell r="IC19">
            <v>847</v>
          </cell>
          <cell r="ID19">
            <v>892</v>
          </cell>
          <cell r="IE19">
            <v>890</v>
          </cell>
          <cell r="IF19">
            <v>890</v>
          </cell>
          <cell r="IG19">
            <v>900</v>
          </cell>
          <cell r="IH19">
            <v>985</v>
          </cell>
        </row>
        <row r="20">
          <cell r="FC20">
            <v>609</v>
          </cell>
          <cell r="FD20">
            <v>583</v>
          </cell>
          <cell r="FE20">
            <v>565</v>
          </cell>
          <cell r="FF20">
            <v>553</v>
          </cell>
          <cell r="FG20">
            <v>510</v>
          </cell>
          <cell r="FH20">
            <v>488</v>
          </cell>
          <cell r="FI20">
            <v>501</v>
          </cell>
          <cell r="FJ20">
            <v>505</v>
          </cell>
          <cell r="FK20">
            <v>483</v>
          </cell>
          <cell r="FL20">
            <v>428</v>
          </cell>
          <cell r="FM20">
            <v>462</v>
          </cell>
          <cell r="FN20">
            <v>504</v>
          </cell>
          <cell r="FO20">
            <v>491</v>
          </cell>
          <cell r="FP20">
            <v>491</v>
          </cell>
          <cell r="FQ20">
            <v>482</v>
          </cell>
          <cell r="FR20">
            <v>418</v>
          </cell>
          <cell r="FS20">
            <v>375</v>
          </cell>
          <cell r="FT20">
            <v>331</v>
          </cell>
          <cell r="FU20">
            <v>317</v>
          </cell>
          <cell r="FV20">
            <v>312</v>
          </cell>
          <cell r="FW20">
            <v>323</v>
          </cell>
          <cell r="FX20">
            <v>334</v>
          </cell>
          <cell r="FY20">
            <v>342</v>
          </cell>
          <cell r="FZ20">
            <v>383</v>
          </cell>
          <cell r="GA20">
            <v>382</v>
          </cell>
          <cell r="GB20">
            <v>379</v>
          </cell>
          <cell r="GC20">
            <v>352</v>
          </cell>
          <cell r="GD20">
            <v>324</v>
          </cell>
          <cell r="GE20">
            <v>301</v>
          </cell>
          <cell r="GF20">
            <v>296</v>
          </cell>
          <cell r="GG20">
            <v>300</v>
          </cell>
          <cell r="GH20">
            <v>327</v>
          </cell>
          <cell r="GI20">
            <v>349</v>
          </cell>
          <cell r="GJ20">
            <v>349</v>
          </cell>
          <cell r="GK20">
            <v>371</v>
          </cell>
          <cell r="GL20">
            <v>421</v>
          </cell>
          <cell r="GM20">
            <v>442</v>
          </cell>
          <cell r="GN20">
            <v>432</v>
          </cell>
          <cell r="GO20">
            <v>495</v>
          </cell>
          <cell r="GP20">
            <v>538</v>
          </cell>
          <cell r="GQ20">
            <v>555</v>
          </cell>
          <cell r="GR20">
            <v>554</v>
          </cell>
          <cell r="GS20">
            <v>525</v>
          </cell>
          <cell r="GT20">
            <v>592</v>
          </cell>
          <cell r="GU20">
            <v>595</v>
          </cell>
          <cell r="GV20">
            <v>621</v>
          </cell>
          <cell r="GW20">
            <v>604</v>
          </cell>
          <cell r="GX20">
            <v>676</v>
          </cell>
          <cell r="GY20">
            <v>730</v>
          </cell>
          <cell r="GZ20">
            <v>737</v>
          </cell>
          <cell r="HA20">
            <v>689</v>
          </cell>
          <cell r="HB20">
            <v>634</v>
          </cell>
          <cell r="HC20">
            <v>600</v>
          </cell>
          <cell r="HD20">
            <v>573</v>
          </cell>
          <cell r="HE20">
            <v>550</v>
          </cell>
          <cell r="HF20">
            <v>572</v>
          </cell>
          <cell r="HG20">
            <v>504</v>
          </cell>
          <cell r="HH20">
            <v>470</v>
          </cell>
          <cell r="HI20">
            <v>466</v>
          </cell>
          <cell r="HJ20">
            <v>502</v>
          </cell>
          <cell r="HK20">
            <v>496</v>
          </cell>
          <cell r="HL20">
            <v>454</v>
          </cell>
          <cell r="HM20">
            <v>415</v>
          </cell>
          <cell r="HN20">
            <v>417</v>
          </cell>
          <cell r="HO20">
            <v>388</v>
          </cell>
          <cell r="HP20">
            <v>367</v>
          </cell>
          <cell r="HQ20">
            <v>370</v>
          </cell>
          <cell r="HR20">
            <v>377</v>
          </cell>
          <cell r="HS20">
            <v>377</v>
          </cell>
          <cell r="HT20">
            <v>335</v>
          </cell>
          <cell r="HU20">
            <v>345</v>
          </cell>
          <cell r="HV20">
            <v>410</v>
          </cell>
          <cell r="HW20">
            <v>408</v>
          </cell>
          <cell r="HX20">
            <v>397</v>
          </cell>
          <cell r="HY20">
            <v>364</v>
          </cell>
          <cell r="HZ20">
            <v>356</v>
          </cell>
          <cell r="IA20">
            <v>317</v>
          </cell>
          <cell r="IB20">
            <v>308</v>
          </cell>
          <cell r="IC20">
            <v>317</v>
          </cell>
          <cell r="ID20">
            <v>332</v>
          </cell>
          <cell r="IE20">
            <v>323</v>
          </cell>
          <cell r="IF20">
            <v>357</v>
          </cell>
          <cell r="IG20">
            <v>382</v>
          </cell>
          <cell r="IH20">
            <v>437</v>
          </cell>
        </row>
        <row r="21">
          <cell r="FC21">
            <v>1764</v>
          </cell>
          <cell r="FD21">
            <v>1727</v>
          </cell>
          <cell r="FE21">
            <v>1620</v>
          </cell>
          <cell r="FF21">
            <v>1582</v>
          </cell>
          <cell r="FG21">
            <v>1514</v>
          </cell>
          <cell r="FH21">
            <v>1442</v>
          </cell>
          <cell r="FI21">
            <v>1462</v>
          </cell>
          <cell r="FJ21">
            <v>1541</v>
          </cell>
          <cell r="FK21">
            <v>1403</v>
          </cell>
          <cell r="FL21">
            <v>1446</v>
          </cell>
          <cell r="FM21">
            <v>1457</v>
          </cell>
          <cell r="FN21">
            <v>1615</v>
          </cell>
          <cell r="FO21">
            <v>1603</v>
          </cell>
          <cell r="FP21">
            <v>1550</v>
          </cell>
          <cell r="FQ21">
            <v>1660</v>
          </cell>
          <cell r="FR21">
            <v>1512</v>
          </cell>
          <cell r="FS21">
            <v>1382</v>
          </cell>
          <cell r="FT21">
            <v>1291</v>
          </cell>
          <cell r="FU21">
            <v>1277</v>
          </cell>
          <cell r="FV21">
            <v>1311</v>
          </cell>
          <cell r="FW21">
            <v>1283</v>
          </cell>
          <cell r="FX21">
            <v>1189</v>
          </cell>
          <cell r="FY21">
            <v>1210</v>
          </cell>
          <cell r="FZ21">
            <v>1320</v>
          </cell>
          <cell r="GA21">
            <v>1348</v>
          </cell>
          <cell r="GB21">
            <v>1334</v>
          </cell>
          <cell r="GC21">
            <v>1266</v>
          </cell>
          <cell r="GD21">
            <v>1167</v>
          </cell>
          <cell r="GE21">
            <v>1126</v>
          </cell>
          <cell r="GF21">
            <v>1071</v>
          </cell>
          <cell r="GG21">
            <v>1092</v>
          </cell>
          <cell r="GH21">
            <v>1099</v>
          </cell>
          <cell r="GI21">
            <v>1091</v>
          </cell>
          <cell r="GJ21">
            <v>1162</v>
          </cell>
          <cell r="GK21">
            <v>1244</v>
          </cell>
          <cell r="GL21">
            <v>1298</v>
          </cell>
          <cell r="GM21">
            <v>1374</v>
          </cell>
          <cell r="GN21">
            <v>1389</v>
          </cell>
          <cell r="GO21">
            <v>1580</v>
          </cell>
          <cell r="GP21">
            <v>1730</v>
          </cell>
          <cell r="GQ21">
            <v>1785</v>
          </cell>
          <cell r="GR21">
            <v>1711</v>
          </cell>
          <cell r="GS21">
            <v>1758</v>
          </cell>
          <cell r="GT21">
            <v>1825</v>
          </cell>
          <cell r="GU21">
            <v>1774</v>
          </cell>
          <cell r="GV21">
            <v>1693</v>
          </cell>
          <cell r="GW21">
            <v>1719</v>
          </cell>
          <cell r="GX21">
            <v>1923</v>
          </cell>
          <cell r="GY21">
            <v>2026</v>
          </cell>
          <cell r="GZ21">
            <v>2025</v>
          </cell>
          <cell r="HA21">
            <v>1868</v>
          </cell>
          <cell r="HB21">
            <v>1798</v>
          </cell>
          <cell r="HC21">
            <v>1745</v>
          </cell>
          <cell r="HD21">
            <v>1660</v>
          </cell>
          <cell r="HE21">
            <v>1617</v>
          </cell>
          <cell r="HF21">
            <v>1614</v>
          </cell>
          <cell r="HG21">
            <v>1556</v>
          </cell>
          <cell r="HH21">
            <v>1550</v>
          </cell>
          <cell r="HI21">
            <v>1566</v>
          </cell>
          <cell r="HJ21">
            <v>1684</v>
          </cell>
          <cell r="HK21">
            <v>1709</v>
          </cell>
          <cell r="HL21">
            <v>1672</v>
          </cell>
          <cell r="HM21">
            <v>1576</v>
          </cell>
          <cell r="HN21">
            <v>1494</v>
          </cell>
          <cell r="HO21">
            <v>1356</v>
          </cell>
          <cell r="HP21">
            <v>1255</v>
          </cell>
          <cell r="HQ21">
            <v>1251</v>
          </cell>
          <cell r="HR21">
            <v>1290</v>
          </cell>
          <cell r="HS21">
            <v>1216</v>
          </cell>
          <cell r="HT21">
            <v>1189</v>
          </cell>
          <cell r="HU21">
            <v>1182</v>
          </cell>
          <cell r="HV21">
            <v>1297</v>
          </cell>
          <cell r="HW21">
            <v>1344</v>
          </cell>
          <cell r="HX21">
            <v>1359</v>
          </cell>
          <cell r="HY21">
            <v>1292</v>
          </cell>
          <cell r="HZ21">
            <v>1243</v>
          </cell>
          <cell r="IA21">
            <v>1217</v>
          </cell>
          <cell r="IB21">
            <v>1140</v>
          </cell>
          <cell r="IC21">
            <v>1169</v>
          </cell>
          <cell r="ID21">
            <v>1199</v>
          </cell>
          <cell r="IE21">
            <v>1182</v>
          </cell>
          <cell r="IF21">
            <v>1145</v>
          </cell>
          <cell r="IG21">
            <v>1234</v>
          </cell>
          <cell r="IH21">
            <v>1385</v>
          </cell>
        </row>
        <row r="22">
          <cell r="FC22">
            <v>236</v>
          </cell>
          <cell r="FD22">
            <v>239</v>
          </cell>
          <cell r="FE22">
            <v>247</v>
          </cell>
          <cell r="FF22">
            <v>225</v>
          </cell>
          <cell r="FG22">
            <v>216</v>
          </cell>
          <cell r="FH22">
            <v>205</v>
          </cell>
          <cell r="FI22">
            <v>206</v>
          </cell>
          <cell r="FJ22">
            <v>196</v>
          </cell>
          <cell r="FK22">
            <v>204</v>
          </cell>
          <cell r="FL22">
            <v>196</v>
          </cell>
          <cell r="FM22">
            <v>188</v>
          </cell>
          <cell r="FN22">
            <v>206</v>
          </cell>
          <cell r="FO22">
            <v>210</v>
          </cell>
          <cell r="FP22">
            <v>195</v>
          </cell>
          <cell r="FQ22">
            <v>196</v>
          </cell>
          <cell r="FR22">
            <v>164</v>
          </cell>
          <cell r="FS22">
            <v>146</v>
          </cell>
          <cell r="FT22">
            <v>139</v>
          </cell>
          <cell r="FU22">
            <v>137</v>
          </cell>
          <cell r="FV22">
            <v>144</v>
          </cell>
          <cell r="FW22">
            <v>139</v>
          </cell>
          <cell r="FX22">
            <v>125</v>
          </cell>
          <cell r="FY22">
            <v>115</v>
          </cell>
          <cell r="FZ22">
            <v>126</v>
          </cell>
          <cell r="GA22">
            <v>147</v>
          </cell>
          <cell r="GB22">
            <v>145</v>
          </cell>
          <cell r="GC22">
            <v>146</v>
          </cell>
          <cell r="GD22">
            <v>132</v>
          </cell>
          <cell r="GE22">
            <v>109</v>
          </cell>
          <cell r="GF22">
            <v>103</v>
          </cell>
          <cell r="GG22">
            <v>114</v>
          </cell>
          <cell r="GH22">
            <v>120</v>
          </cell>
          <cell r="GI22">
            <v>123</v>
          </cell>
          <cell r="GJ22">
            <v>125</v>
          </cell>
          <cell r="GK22">
            <v>122</v>
          </cell>
          <cell r="GL22">
            <v>141</v>
          </cell>
          <cell r="GM22">
            <v>150</v>
          </cell>
          <cell r="GN22">
            <v>150</v>
          </cell>
          <cell r="GO22">
            <v>163</v>
          </cell>
          <cell r="GP22">
            <v>193</v>
          </cell>
          <cell r="GQ22">
            <v>188</v>
          </cell>
          <cell r="GR22">
            <v>181</v>
          </cell>
          <cell r="GS22">
            <v>200</v>
          </cell>
          <cell r="GT22">
            <v>221</v>
          </cell>
          <cell r="GU22">
            <v>226</v>
          </cell>
          <cell r="GV22">
            <v>218</v>
          </cell>
          <cell r="GW22">
            <v>211</v>
          </cell>
          <cell r="GX22">
            <v>229</v>
          </cell>
          <cell r="GY22">
            <v>234</v>
          </cell>
          <cell r="GZ22">
            <v>240</v>
          </cell>
          <cell r="HA22">
            <v>223</v>
          </cell>
          <cell r="HB22">
            <v>217</v>
          </cell>
          <cell r="HC22">
            <v>195</v>
          </cell>
          <cell r="HD22">
            <v>196</v>
          </cell>
          <cell r="HE22">
            <v>208</v>
          </cell>
          <cell r="HF22">
            <v>205</v>
          </cell>
          <cell r="HG22">
            <v>186</v>
          </cell>
          <cell r="HH22">
            <v>189</v>
          </cell>
          <cell r="HI22">
            <v>180</v>
          </cell>
          <cell r="HJ22">
            <v>191</v>
          </cell>
          <cell r="HK22">
            <v>184</v>
          </cell>
          <cell r="HL22">
            <v>189</v>
          </cell>
          <cell r="HM22">
            <v>178</v>
          </cell>
          <cell r="HN22">
            <v>174</v>
          </cell>
          <cell r="HO22">
            <v>164</v>
          </cell>
          <cell r="HP22">
            <v>162</v>
          </cell>
          <cell r="HQ22">
            <v>154</v>
          </cell>
          <cell r="HR22">
            <v>152</v>
          </cell>
          <cell r="HS22">
            <v>128</v>
          </cell>
          <cell r="HT22">
            <v>122</v>
          </cell>
          <cell r="HU22">
            <v>140</v>
          </cell>
          <cell r="HV22">
            <v>153</v>
          </cell>
          <cell r="HW22">
            <v>152</v>
          </cell>
          <cell r="HX22">
            <v>141</v>
          </cell>
          <cell r="HY22">
            <v>132</v>
          </cell>
          <cell r="HZ22">
            <v>129</v>
          </cell>
          <cell r="IA22">
            <v>131</v>
          </cell>
          <cell r="IB22">
            <v>137</v>
          </cell>
          <cell r="IC22">
            <v>132</v>
          </cell>
          <cell r="ID22">
            <v>133</v>
          </cell>
          <cell r="IE22">
            <v>138</v>
          </cell>
          <cell r="IF22">
            <v>135</v>
          </cell>
          <cell r="IG22">
            <v>148</v>
          </cell>
          <cell r="IH22">
            <v>162</v>
          </cell>
        </row>
        <row r="23">
          <cell r="FC23">
            <v>491</v>
          </cell>
          <cell r="FD23">
            <v>483</v>
          </cell>
          <cell r="FE23">
            <v>457</v>
          </cell>
          <cell r="FF23">
            <v>469</v>
          </cell>
          <cell r="FG23">
            <v>456</v>
          </cell>
          <cell r="FH23">
            <v>429</v>
          </cell>
          <cell r="FI23">
            <v>426</v>
          </cell>
          <cell r="FJ23">
            <v>412</v>
          </cell>
          <cell r="FK23">
            <v>409</v>
          </cell>
          <cell r="FL23">
            <v>400</v>
          </cell>
          <cell r="FM23">
            <v>409</v>
          </cell>
          <cell r="FN23">
            <v>428</v>
          </cell>
          <cell r="FO23">
            <v>463</v>
          </cell>
          <cell r="FP23">
            <v>459</v>
          </cell>
          <cell r="FQ23">
            <v>420</v>
          </cell>
          <cell r="FR23">
            <v>395</v>
          </cell>
          <cell r="FS23">
            <v>359</v>
          </cell>
          <cell r="FT23">
            <v>380</v>
          </cell>
          <cell r="FU23">
            <v>353</v>
          </cell>
          <cell r="FV23">
            <v>349</v>
          </cell>
          <cell r="FW23">
            <v>341</v>
          </cell>
          <cell r="FX23">
            <v>334</v>
          </cell>
          <cell r="FY23">
            <v>315</v>
          </cell>
          <cell r="FZ23">
            <v>337</v>
          </cell>
          <cell r="GA23">
            <v>345</v>
          </cell>
          <cell r="GB23">
            <v>350</v>
          </cell>
          <cell r="GC23">
            <v>320</v>
          </cell>
          <cell r="GD23">
            <v>298</v>
          </cell>
          <cell r="GE23">
            <v>278</v>
          </cell>
          <cell r="GF23">
            <v>295</v>
          </cell>
          <cell r="GG23">
            <v>267</v>
          </cell>
          <cell r="GH23">
            <v>264</v>
          </cell>
          <cell r="GI23">
            <v>269</v>
          </cell>
          <cell r="GJ23">
            <v>260</v>
          </cell>
          <cell r="GK23">
            <v>273</v>
          </cell>
          <cell r="GL23">
            <v>337</v>
          </cell>
          <cell r="GM23">
            <v>355</v>
          </cell>
          <cell r="GN23">
            <v>336</v>
          </cell>
          <cell r="GO23">
            <v>362</v>
          </cell>
          <cell r="GP23">
            <v>435</v>
          </cell>
          <cell r="GQ23">
            <v>493</v>
          </cell>
          <cell r="GR23">
            <v>472</v>
          </cell>
          <cell r="GS23">
            <v>449</v>
          </cell>
          <cell r="GT23">
            <v>469</v>
          </cell>
          <cell r="GU23">
            <v>449</v>
          </cell>
          <cell r="GV23">
            <v>448</v>
          </cell>
          <cell r="GW23">
            <v>444</v>
          </cell>
          <cell r="GX23">
            <v>457</v>
          </cell>
          <cell r="GY23">
            <v>487</v>
          </cell>
          <cell r="GZ23">
            <v>483</v>
          </cell>
          <cell r="HA23">
            <v>466</v>
          </cell>
          <cell r="HB23">
            <v>449</v>
          </cell>
          <cell r="HC23">
            <v>429</v>
          </cell>
          <cell r="HD23">
            <v>415</v>
          </cell>
          <cell r="HE23">
            <v>404</v>
          </cell>
          <cell r="HF23">
            <v>387</v>
          </cell>
          <cell r="HG23">
            <v>368</v>
          </cell>
          <cell r="HH23">
            <v>332</v>
          </cell>
          <cell r="HI23">
            <v>369</v>
          </cell>
          <cell r="HJ23">
            <v>385</v>
          </cell>
          <cell r="HK23">
            <v>400</v>
          </cell>
          <cell r="HL23">
            <v>381</v>
          </cell>
          <cell r="HM23">
            <v>360</v>
          </cell>
          <cell r="HN23">
            <v>341</v>
          </cell>
          <cell r="HO23">
            <v>319</v>
          </cell>
          <cell r="HP23">
            <v>300</v>
          </cell>
          <cell r="HQ23">
            <v>299</v>
          </cell>
          <cell r="HR23">
            <v>283</v>
          </cell>
          <cell r="HS23">
            <v>267</v>
          </cell>
          <cell r="HT23">
            <v>257</v>
          </cell>
          <cell r="HU23">
            <v>263</v>
          </cell>
          <cell r="HV23">
            <v>281</v>
          </cell>
          <cell r="HW23">
            <v>281</v>
          </cell>
          <cell r="HX23">
            <v>287</v>
          </cell>
          <cell r="HY23">
            <v>263</v>
          </cell>
          <cell r="HZ23">
            <v>259</v>
          </cell>
          <cell r="IA23">
            <v>255</v>
          </cell>
          <cell r="IB23">
            <v>245</v>
          </cell>
          <cell r="IC23">
            <v>266</v>
          </cell>
          <cell r="ID23">
            <v>299</v>
          </cell>
          <cell r="IE23">
            <v>284</v>
          </cell>
          <cell r="IF23">
            <v>288</v>
          </cell>
          <cell r="IG23">
            <v>299</v>
          </cell>
          <cell r="IH23">
            <v>326</v>
          </cell>
        </row>
        <row r="26">
          <cell r="FC26">
            <v>2403</v>
          </cell>
          <cell r="FD26">
            <v>2341</v>
          </cell>
          <cell r="FE26">
            <v>2342</v>
          </cell>
          <cell r="FF26">
            <v>2249</v>
          </cell>
          <cell r="FG26">
            <v>2185</v>
          </cell>
          <cell r="FH26">
            <v>2127</v>
          </cell>
          <cell r="FI26">
            <v>2120</v>
          </cell>
          <cell r="FJ26">
            <v>2090</v>
          </cell>
          <cell r="FK26">
            <v>2085</v>
          </cell>
          <cell r="FL26">
            <v>2096</v>
          </cell>
          <cell r="FM26">
            <v>2153</v>
          </cell>
          <cell r="FN26">
            <v>2155</v>
          </cell>
          <cell r="FO26">
            <v>2135</v>
          </cell>
          <cell r="FP26">
            <v>2104</v>
          </cell>
          <cell r="FQ26">
            <v>2079</v>
          </cell>
          <cell r="FR26">
            <v>2005</v>
          </cell>
          <cell r="FS26">
            <v>1923</v>
          </cell>
          <cell r="FT26">
            <v>1825</v>
          </cell>
          <cell r="FU26">
            <v>1825</v>
          </cell>
          <cell r="FV26">
            <v>1814</v>
          </cell>
          <cell r="FW26">
            <v>1773</v>
          </cell>
          <cell r="FX26">
            <v>1778</v>
          </cell>
          <cell r="FY26">
            <v>1828</v>
          </cell>
          <cell r="FZ26">
            <v>1895</v>
          </cell>
          <cell r="GA26">
            <v>1898</v>
          </cell>
          <cell r="GB26">
            <v>1819</v>
          </cell>
          <cell r="GC26">
            <v>1788</v>
          </cell>
          <cell r="GD26">
            <v>1742</v>
          </cell>
          <cell r="GE26">
            <v>1678</v>
          </cell>
          <cell r="GF26">
            <v>1673</v>
          </cell>
          <cell r="GG26">
            <v>1675</v>
          </cell>
          <cell r="GH26">
            <v>1654</v>
          </cell>
          <cell r="GI26">
            <v>1675</v>
          </cell>
          <cell r="GJ26">
            <v>1752</v>
          </cell>
          <cell r="GK26">
            <v>1826</v>
          </cell>
          <cell r="GL26">
            <v>1888</v>
          </cell>
          <cell r="GM26">
            <v>1919</v>
          </cell>
          <cell r="GN26">
            <v>1882</v>
          </cell>
          <cell r="GO26">
            <v>2065</v>
          </cell>
          <cell r="GP26">
            <v>2261</v>
          </cell>
          <cell r="GQ26">
            <v>2369</v>
          </cell>
          <cell r="GR26">
            <v>2486</v>
          </cell>
          <cell r="GS26">
            <v>2561</v>
          </cell>
          <cell r="GT26">
            <v>2597</v>
          </cell>
          <cell r="GU26">
            <v>2606</v>
          </cell>
          <cell r="GV26">
            <v>2669</v>
          </cell>
          <cell r="GW26">
            <v>2791</v>
          </cell>
          <cell r="GX26">
            <v>2838</v>
          </cell>
          <cell r="GY26">
            <v>2825</v>
          </cell>
          <cell r="GZ26">
            <v>2815</v>
          </cell>
          <cell r="HA26">
            <v>2764</v>
          </cell>
          <cell r="HB26">
            <v>2718</v>
          </cell>
          <cell r="HC26">
            <v>2655</v>
          </cell>
          <cell r="HD26">
            <v>2559</v>
          </cell>
          <cell r="HE26">
            <v>2466</v>
          </cell>
          <cell r="HF26">
            <v>2384</v>
          </cell>
          <cell r="HG26">
            <v>2352</v>
          </cell>
          <cell r="HH26">
            <v>2287</v>
          </cell>
          <cell r="HI26">
            <v>2350</v>
          </cell>
          <cell r="HJ26">
            <v>2339</v>
          </cell>
          <cell r="HK26">
            <v>2337</v>
          </cell>
          <cell r="HL26">
            <v>2343</v>
          </cell>
          <cell r="HM26">
            <v>2259</v>
          </cell>
          <cell r="HN26">
            <v>2128</v>
          </cell>
          <cell r="HO26">
            <v>1988</v>
          </cell>
          <cell r="HP26">
            <v>1918</v>
          </cell>
          <cell r="HQ26">
            <v>1880</v>
          </cell>
          <cell r="HR26">
            <v>1797</v>
          </cell>
          <cell r="HS26">
            <v>1690</v>
          </cell>
          <cell r="HT26">
            <v>1695</v>
          </cell>
          <cell r="HU26">
            <v>1702</v>
          </cell>
          <cell r="HV26">
            <v>1635</v>
          </cell>
          <cell r="HW26">
            <v>1634</v>
          </cell>
          <cell r="HX26">
            <v>1661</v>
          </cell>
          <cell r="HY26">
            <v>1647</v>
          </cell>
          <cell r="HZ26">
            <v>1582</v>
          </cell>
          <cell r="IA26">
            <v>1575</v>
          </cell>
          <cell r="IB26">
            <v>1555</v>
          </cell>
          <cell r="IC26">
            <v>1579</v>
          </cell>
          <cell r="ID26">
            <v>1595</v>
          </cell>
          <cell r="IE26">
            <v>1577</v>
          </cell>
          <cell r="IF26">
            <v>1601</v>
          </cell>
          <cell r="IG26">
            <v>1661</v>
          </cell>
          <cell r="IH26">
            <v>1695</v>
          </cell>
        </row>
        <row r="27">
          <cell r="FC27">
            <v>868</v>
          </cell>
          <cell r="FD27">
            <v>849</v>
          </cell>
          <cell r="FE27">
            <v>846</v>
          </cell>
          <cell r="FF27">
            <v>816</v>
          </cell>
          <cell r="FG27">
            <v>806</v>
          </cell>
          <cell r="FH27">
            <v>784</v>
          </cell>
          <cell r="FI27">
            <v>805</v>
          </cell>
          <cell r="FJ27">
            <v>807</v>
          </cell>
          <cell r="FK27">
            <v>805</v>
          </cell>
          <cell r="FL27">
            <v>770</v>
          </cell>
          <cell r="FM27">
            <v>768</v>
          </cell>
          <cell r="FN27">
            <v>777</v>
          </cell>
          <cell r="FO27">
            <v>777</v>
          </cell>
          <cell r="FP27">
            <v>777</v>
          </cell>
          <cell r="FQ27">
            <v>757</v>
          </cell>
          <cell r="FR27">
            <v>706</v>
          </cell>
          <cell r="FS27">
            <v>669</v>
          </cell>
          <cell r="FT27">
            <v>651</v>
          </cell>
          <cell r="FU27">
            <v>662</v>
          </cell>
          <cell r="FV27">
            <v>648</v>
          </cell>
          <cell r="FW27">
            <v>638</v>
          </cell>
          <cell r="FX27">
            <v>650</v>
          </cell>
          <cell r="FY27">
            <v>697</v>
          </cell>
          <cell r="FZ27">
            <v>711</v>
          </cell>
          <cell r="GA27">
            <v>719</v>
          </cell>
          <cell r="GB27">
            <v>692</v>
          </cell>
          <cell r="GC27">
            <v>677</v>
          </cell>
          <cell r="GD27">
            <v>669</v>
          </cell>
          <cell r="GE27">
            <v>657</v>
          </cell>
          <cell r="GF27">
            <v>631</v>
          </cell>
          <cell r="GG27">
            <v>637</v>
          </cell>
          <cell r="GH27">
            <v>641</v>
          </cell>
          <cell r="GI27">
            <v>656</v>
          </cell>
          <cell r="GJ27">
            <v>677</v>
          </cell>
          <cell r="GK27">
            <v>711</v>
          </cell>
          <cell r="GL27">
            <v>752</v>
          </cell>
          <cell r="GM27">
            <v>757</v>
          </cell>
          <cell r="GN27">
            <v>726</v>
          </cell>
          <cell r="GO27">
            <v>785</v>
          </cell>
          <cell r="GP27">
            <v>827</v>
          </cell>
          <cell r="GQ27">
            <v>854</v>
          </cell>
          <cell r="GR27">
            <v>884</v>
          </cell>
          <cell r="GS27">
            <v>906</v>
          </cell>
          <cell r="GT27">
            <v>931</v>
          </cell>
          <cell r="GU27">
            <v>954</v>
          </cell>
          <cell r="GV27">
            <v>1008</v>
          </cell>
          <cell r="GW27">
            <v>1055</v>
          </cell>
          <cell r="GX27">
            <v>1130</v>
          </cell>
          <cell r="GY27">
            <v>1117</v>
          </cell>
          <cell r="GZ27">
            <v>1109</v>
          </cell>
          <cell r="HA27">
            <v>1092</v>
          </cell>
          <cell r="HB27">
            <v>1062</v>
          </cell>
          <cell r="HC27">
            <v>1044</v>
          </cell>
          <cell r="HD27">
            <v>1018</v>
          </cell>
          <cell r="HE27">
            <v>1001</v>
          </cell>
          <cell r="HF27">
            <v>974</v>
          </cell>
          <cell r="HG27">
            <v>923</v>
          </cell>
          <cell r="HH27">
            <v>899</v>
          </cell>
          <cell r="HI27">
            <v>915</v>
          </cell>
          <cell r="HJ27">
            <v>904</v>
          </cell>
          <cell r="HK27">
            <v>848</v>
          </cell>
          <cell r="HL27">
            <v>823</v>
          </cell>
          <cell r="HM27">
            <v>798</v>
          </cell>
          <cell r="HN27">
            <v>756</v>
          </cell>
          <cell r="HO27">
            <v>730</v>
          </cell>
          <cell r="HP27">
            <v>693</v>
          </cell>
          <cell r="HQ27">
            <v>670</v>
          </cell>
          <cell r="HR27">
            <v>668</v>
          </cell>
          <cell r="HS27">
            <v>668</v>
          </cell>
          <cell r="HT27">
            <v>642</v>
          </cell>
          <cell r="HU27">
            <v>657</v>
          </cell>
          <cell r="HV27">
            <v>694</v>
          </cell>
          <cell r="HW27">
            <v>694</v>
          </cell>
          <cell r="HX27">
            <v>672</v>
          </cell>
          <cell r="HY27">
            <v>641</v>
          </cell>
          <cell r="HZ27">
            <v>598</v>
          </cell>
          <cell r="IA27">
            <v>566</v>
          </cell>
          <cell r="IB27">
            <v>559</v>
          </cell>
          <cell r="IC27">
            <v>569</v>
          </cell>
          <cell r="ID27">
            <v>579</v>
          </cell>
          <cell r="IE27">
            <v>586</v>
          </cell>
          <cell r="IF27">
            <v>614</v>
          </cell>
          <cell r="IG27">
            <v>663</v>
          </cell>
          <cell r="IH27">
            <v>697</v>
          </cell>
        </row>
        <row r="28">
          <cell r="FC28">
            <v>2961</v>
          </cell>
          <cell r="FD28">
            <v>2977</v>
          </cell>
          <cell r="FE28">
            <v>2916</v>
          </cell>
          <cell r="FF28">
            <v>2821</v>
          </cell>
          <cell r="FG28">
            <v>2792</v>
          </cell>
          <cell r="FH28">
            <v>2783</v>
          </cell>
          <cell r="FI28">
            <v>2821</v>
          </cell>
          <cell r="FJ28">
            <v>2799</v>
          </cell>
          <cell r="FK28">
            <v>2779</v>
          </cell>
          <cell r="FL28">
            <v>2751</v>
          </cell>
          <cell r="FM28">
            <v>2866</v>
          </cell>
          <cell r="FN28">
            <v>2944</v>
          </cell>
          <cell r="FO28">
            <v>2932</v>
          </cell>
          <cell r="FP28">
            <v>2887</v>
          </cell>
          <cell r="FQ28">
            <v>2868</v>
          </cell>
          <cell r="FR28">
            <v>2778</v>
          </cell>
          <cell r="FS28">
            <v>2678</v>
          </cell>
          <cell r="FT28">
            <v>2519</v>
          </cell>
          <cell r="FU28">
            <v>2507</v>
          </cell>
          <cell r="FV28">
            <v>2494</v>
          </cell>
          <cell r="FW28">
            <v>2521</v>
          </cell>
          <cell r="FX28">
            <v>2559</v>
          </cell>
          <cell r="FY28">
            <v>2652</v>
          </cell>
          <cell r="FZ28">
            <v>2676</v>
          </cell>
          <cell r="GA28">
            <v>2609</v>
          </cell>
          <cell r="GB28">
            <v>2599</v>
          </cell>
          <cell r="GC28">
            <v>2586</v>
          </cell>
          <cell r="GD28">
            <v>2498</v>
          </cell>
          <cell r="GE28">
            <v>2475</v>
          </cell>
          <cell r="GF28">
            <v>2403</v>
          </cell>
          <cell r="GG28">
            <v>2415</v>
          </cell>
          <cell r="GH28">
            <v>2355</v>
          </cell>
          <cell r="GI28">
            <v>2370</v>
          </cell>
          <cell r="GJ28">
            <v>2401</v>
          </cell>
          <cell r="GK28">
            <v>2494</v>
          </cell>
          <cell r="GL28">
            <v>2545</v>
          </cell>
          <cell r="GM28">
            <v>2523</v>
          </cell>
          <cell r="GN28">
            <v>2489</v>
          </cell>
          <cell r="GO28">
            <v>2768</v>
          </cell>
          <cell r="GP28">
            <v>2958</v>
          </cell>
          <cell r="GQ28">
            <v>2984</v>
          </cell>
          <cell r="GR28">
            <v>3066</v>
          </cell>
          <cell r="GS28">
            <v>3231</v>
          </cell>
          <cell r="GT28">
            <v>3196</v>
          </cell>
          <cell r="GU28">
            <v>3187</v>
          </cell>
          <cell r="GV28">
            <v>3157</v>
          </cell>
          <cell r="GW28">
            <v>3258</v>
          </cell>
          <cell r="GX28">
            <v>3385</v>
          </cell>
          <cell r="GY28">
            <v>3407</v>
          </cell>
          <cell r="GZ28">
            <v>3392</v>
          </cell>
          <cell r="HA28">
            <v>3386</v>
          </cell>
          <cell r="HB28">
            <v>3317</v>
          </cell>
          <cell r="HC28">
            <v>3270</v>
          </cell>
          <cell r="HD28">
            <v>3180</v>
          </cell>
          <cell r="HE28">
            <v>3096</v>
          </cell>
          <cell r="HF28">
            <v>3029</v>
          </cell>
          <cell r="HG28">
            <v>2979</v>
          </cell>
          <cell r="HH28">
            <v>2959</v>
          </cell>
          <cell r="HI28">
            <v>3022</v>
          </cell>
          <cell r="HJ28">
            <v>3062</v>
          </cell>
          <cell r="HK28">
            <v>3014</v>
          </cell>
          <cell r="HL28">
            <v>2950</v>
          </cell>
          <cell r="HM28">
            <v>2872</v>
          </cell>
          <cell r="HN28">
            <v>2747</v>
          </cell>
          <cell r="HO28">
            <v>2662</v>
          </cell>
          <cell r="HP28">
            <v>2557</v>
          </cell>
          <cell r="HQ28">
            <v>2466</v>
          </cell>
          <cell r="HR28">
            <v>2392</v>
          </cell>
          <cell r="HS28">
            <v>2322</v>
          </cell>
          <cell r="HT28">
            <v>2321</v>
          </cell>
          <cell r="HU28">
            <v>2350</v>
          </cell>
          <cell r="HV28">
            <v>2393</v>
          </cell>
          <cell r="HW28">
            <v>2376</v>
          </cell>
          <cell r="HX28">
            <v>2389</v>
          </cell>
          <cell r="HY28">
            <v>2333</v>
          </cell>
          <cell r="HZ28">
            <v>2266</v>
          </cell>
          <cell r="IA28">
            <v>2204</v>
          </cell>
          <cell r="IB28">
            <v>2145</v>
          </cell>
          <cell r="IC28">
            <v>2176</v>
          </cell>
          <cell r="ID28">
            <v>2153</v>
          </cell>
          <cell r="IE28">
            <v>2091</v>
          </cell>
          <cell r="IF28">
            <v>2163</v>
          </cell>
          <cell r="IG28">
            <v>2299</v>
          </cell>
          <cell r="IH28">
            <v>2339</v>
          </cell>
        </row>
        <row r="29">
          <cell r="FC29">
            <v>368</v>
          </cell>
          <cell r="FD29">
            <v>374</v>
          </cell>
          <cell r="FE29">
            <v>377</v>
          </cell>
          <cell r="FF29">
            <v>350</v>
          </cell>
          <cell r="FG29">
            <v>340</v>
          </cell>
          <cell r="FH29">
            <v>322</v>
          </cell>
          <cell r="FI29">
            <v>330</v>
          </cell>
          <cell r="FJ29">
            <v>322</v>
          </cell>
          <cell r="FK29">
            <v>327</v>
          </cell>
          <cell r="FL29">
            <v>324</v>
          </cell>
          <cell r="FM29">
            <v>323</v>
          </cell>
          <cell r="FN29">
            <v>326</v>
          </cell>
          <cell r="FO29">
            <v>333</v>
          </cell>
          <cell r="FP29">
            <v>324</v>
          </cell>
          <cell r="FQ29">
            <v>312</v>
          </cell>
          <cell r="FR29">
            <v>289</v>
          </cell>
          <cell r="FS29">
            <v>268</v>
          </cell>
          <cell r="FT29">
            <v>262</v>
          </cell>
          <cell r="FU29">
            <v>270</v>
          </cell>
          <cell r="FV29">
            <v>259</v>
          </cell>
          <cell r="FW29">
            <v>252</v>
          </cell>
          <cell r="FX29">
            <v>254</v>
          </cell>
          <cell r="FY29">
            <v>253</v>
          </cell>
          <cell r="FZ29">
            <v>265</v>
          </cell>
          <cell r="GA29">
            <v>289</v>
          </cell>
          <cell r="GB29">
            <v>274</v>
          </cell>
          <cell r="GC29">
            <v>282</v>
          </cell>
          <cell r="GD29">
            <v>273</v>
          </cell>
          <cell r="GE29">
            <v>255</v>
          </cell>
          <cell r="GF29">
            <v>250</v>
          </cell>
          <cell r="GG29">
            <v>246</v>
          </cell>
          <cell r="GH29">
            <v>240</v>
          </cell>
          <cell r="GI29">
            <v>253</v>
          </cell>
          <cell r="GJ29">
            <v>267</v>
          </cell>
          <cell r="GK29">
            <v>265</v>
          </cell>
          <cell r="GL29">
            <v>283</v>
          </cell>
          <cell r="GM29">
            <v>296</v>
          </cell>
          <cell r="GN29">
            <v>280</v>
          </cell>
          <cell r="GO29">
            <v>293</v>
          </cell>
          <cell r="GP29">
            <v>321</v>
          </cell>
          <cell r="GQ29">
            <v>322</v>
          </cell>
          <cell r="GR29">
            <v>334</v>
          </cell>
          <cell r="GS29">
            <v>365</v>
          </cell>
          <cell r="GT29">
            <v>377</v>
          </cell>
          <cell r="GU29">
            <v>374</v>
          </cell>
          <cell r="GV29">
            <v>371</v>
          </cell>
          <cell r="GW29">
            <v>387</v>
          </cell>
          <cell r="GX29">
            <v>405</v>
          </cell>
          <cell r="GY29">
            <v>414</v>
          </cell>
          <cell r="GZ29">
            <v>410</v>
          </cell>
          <cell r="HA29">
            <v>416</v>
          </cell>
          <cell r="HB29">
            <v>409</v>
          </cell>
          <cell r="HC29">
            <v>399</v>
          </cell>
          <cell r="HD29">
            <v>406</v>
          </cell>
          <cell r="HE29">
            <v>399</v>
          </cell>
          <cell r="HF29">
            <v>374</v>
          </cell>
          <cell r="HG29">
            <v>357</v>
          </cell>
          <cell r="HH29">
            <v>355</v>
          </cell>
          <cell r="HI29">
            <v>357</v>
          </cell>
          <cell r="HJ29">
            <v>363</v>
          </cell>
          <cell r="HK29">
            <v>353</v>
          </cell>
          <cell r="HL29">
            <v>353</v>
          </cell>
          <cell r="HM29">
            <v>331</v>
          </cell>
          <cell r="HN29">
            <v>318</v>
          </cell>
          <cell r="HO29">
            <v>311</v>
          </cell>
          <cell r="HP29">
            <v>300</v>
          </cell>
          <cell r="HQ29">
            <v>279</v>
          </cell>
          <cell r="HR29">
            <v>277</v>
          </cell>
          <cell r="HS29">
            <v>246</v>
          </cell>
          <cell r="HT29">
            <v>250</v>
          </cell>
          <cell r="HU29">
            <v>263</v>
          </cell>
          <cell r="HV29">
            <v>264</v>
          </cell>
          <cell r="HW29">
            <v>267</v>
          </cell>
          <cell r="HX29">
            <v>252</v>
          </cell>
          <cell r="HY29">
            <v>228</v>
          </cell>
          <cell r="HZ29">
            <v>219</v>
          </cell>
          <cell r="IA29">
            <v>220</v>
          </cell>
          <cell r="IB29">
            <v>232</v>
          </cell>
          <cell r="IC29">
            <v>223</v>
          </cell>
          <cell r="ID29">
            <v>223</v>
          </cell>
          <cell r="IE29">
            <v>230</v>
          </cell>
          <cell r="IF29">
            <v>241</v>
          </cell>
          <cell r="IG29">
            <v>264</v>
          </cell>
          <cell r="IH29">
            <v>264</v>
          </cell>
        </row>
        <row r="30">
          <cell r="FC30">
            <v>709</v>
          </cell>
          <cell r="FD30">
            <v>719</v>
          </cell>
          <cell r="FE30">
            <v>696</v>
          </cell>
          <cell r="FF30">
            <v>684</v>
          </cell>
          <cell r="FG30">
            <v>683</v>
          </cell>
          <cell r="FH30">
            <v>654</v>
          </cell>
          <cell r="FI30">
            <v>670</v>
          </cell>
          <cell r="FJ30">
            <v>639</v>
          </cell>
          <cell r="FK30">
            <v>632</v>
          </cell>
          <cell r="FL30">
            <v>619</v>
          </cell>
          <cell r="FM30">
            <v>631</v>
          </cell>
          <cell r="FN30">
            <v>645</v>
          </cell>
          <cell r="FO30">
            <v>668</v>
          </cell>
          <cell r="FP30">
            <v>667</v>
          </cell>
          <cell r="FQ30">
            <v>648</v>
          </cell>
          <cell r="FR30">
            <v>646</v>
          </cell>
          <cell r="FS30">
            <v>616</v>
          </cell>
          <cell r="FT30">
            <v>607</v>
          </cell>
          <cell r="FU30">
            <v>616</v>
          </cell>
          <cell r="FV30">
            <v>614</v>
          </cell>
          <cell r="FW30">
            <v>594</v>
          </cell>
          <cell r="FX30">
            <v>584</v>
          </cell>
          <cell r="FY30">
            <v>582</v>
          </cell>
          <cell r="FZ30">
            <v>583</v>
          </cell>
          <cell r="GA30">
            <v>592</v>
          </cell>
          <cell r="GB30">
            <v>600</v>
          </cell>
          <cell r="GC30">
            <v>553</v>
          </cell>
          <cell r="GD30">
            <v>533</v>
          </cell>
          <cell r="GE30">
            <v>515</v>
          </cell>
          <cell r="GF30">
            <v>518</v>
          </cell>
          <cell r="GG30">
            <v>527</v>
          </cell>
          <cell r="GH30">
            <v>500</v>
          </cell>
          <cell r="GI30">
            <v>507</v>
          </cell>
          <cell r="GJ30">
            <v>514</v>
          </cell>
          <cell r="GK30">
            <v>547</v>
          </cell>
          <cell r="GL30">
            <v>591</v>
          </cell>
          <cell r="GM30">
            <v>598</v>
          </cell>
          <cell r="GN30">
            <v>567</v>
          </cell>
          <cell r="GO30">
            <v>621</v>
          </cell>
          <cell r="GP30">
            <v>682</v>
          </cell>
          <cell r="GQ30">
            <v>722</v>
          </cell>
          <cell r="GR30">
            <v>715</v>
          </cell>
          <cell r="GS30">
            <v>724</v>
          </cell>
          <cell r="GT30">
            <v>722</v>
          </cell>
          <cell r="GU30">
            <v>719</v>
          </cell>
          <cell r="GV30">
            <v>742</v>
          </cell>
          <cell r="GW30">
            <v>771</v>
          </cell>
          <cell r="GX30">
            <v>801</v>
          </cell>
          <cell r="GY30">
            <v>811</v>
          </cell>
          <cell r="GZ30">
            <v>800</v>
          </cell>
          <cell r="HA30">
            <v>786</v>
          </cell>
          <cell r="HB30">
            <v>764</v>
          </cell>
          <cell r="HC30">
            <v>751</v>
          </cell>
          <cell r="HD30">
            <v>735</v>
          </cell>
          <cell r="HE30">
            <v>720</v>
          </cell>
          <cell r="HF30">
            <v>686</v>
          </cell>
          <cell r="HG30">
            <v>659</v>
          </cell>
          <cell r="HH30">
            <v>633</v>
          </cell>
          <cell r="HI30">
            <v>649</v>
          </cell>
          <cell r="HJ30">
            <v>670</v>
          </cell>
          <cell r="HK30">
            <v>656</v>
          </cell>
          <cell r="HL30">
            <v>650</v>
          </cell>
          <cell r="HM30">
            <v>638</v>
          </cell>
          <cell r="HN30">
            <v>587</v>
          </cell>
          <cell r="HO30">
            <v>570</v>
          </cell>
          <cell r="HP30">
            <v>547</v>
          </cell>
          <cell r="HQ30">
            <v>548</v>
          </cell>
          <cell r="HR30">
            <v>523</v>
          </cell>
          <cell r="HS30">
            <v>496</v>
          </cell>
          <cell r="HT30">
            <v>485</v>
          </cell>
          <cell r="HU30">
            <v>475</v>
          </cell>
          <cell r="HV30">
            <v>480</v>
          </cell>
          <cell r="HW30">
            <v>471</v>
          </cell>
          <cell r="HX30">
            <v>473</v>
          </cell>
          <cell r="HY30">
            <v>466</v>
          </cell>
          <cell r="HZ30">
            <v>445</v>
          </cell>
          <cell r="IA30">
            <v>436</v>
          </cell>
          <cell r="IB30">
            <v>429</v>
          </cell>
          <cell r="IC30">
            <v>461</v>
          </cell>
          <cell r="ID30">
            <v>448</v>
          </cell>
          <cell r="IE30">
            <v>452</v>
          </cell>
          <cell r="IF30">
            <v>471</v>
          </cell>
          <cell r="IG30">
            <v>521</v>
          </cell>
          <cell r="IH30">
            <v>536</v>
          </cell>
        </row>
        <row r="33">
          <cell r="FC33">
            <v>956</v>
          </cell>
          <cell r="FD33">
            <v>751</v>
          </cell>
          <cell r="FE33">
            <v>1081</v>
          </cell>
          <cell r="FF33">
            <v>653</v>
          </cell>
          <cell r="FG33">
            <v>897</v>
          </cell>
          <cell r="FH33">
            <v>730</v>
          </cell>
          <cell r="FI33">
            <v>914</v>
          </cell>
          <cell r="FJ33">
            <v>925</v>
          </cell>
          <cell r="FK33">
            <v>850</v>
          </cell>
          <cell r="FL33">
            <v>805</v>
          </cell>
          <cell r="FM33">
            <v>954</v>
          </cell>
          <cell r="FN33">
            <v>759</v>
          </cell>
          <cell r="FO33">
            <v>916</v>
          </cell>
          <cell r="FP33">
            <v>766</v>
          </cell>
          <cell r="FQ33">
            <v>757</v>
          </cell>
          <cell r="FR33">
            <v>664</v>
          </cell>
          <cell r="FS33">
            <v>655</v>
          </cell>
          <cell r="FT33">
            <v>680</v>
          </cell>
          <cell r="FU33">
            <v>840</v>
          </cell>
          <cell r="FV33">
            <v>856</v>
          </cell>
          <cell r="FW33">
            <v>808</v>
          </cell>
          <cell r="FX33">
            <v>894</v>
          </cell>
          <cell r="FY33">
            <v>953</v>
          </cell>
          <cell r="FZ33">
            <v>731</v>
          </cell>
          <cell r="GA33">
            <v>866</v>
          </cell>
          <cell r="GB33">
            <v>756</v>
          </cell>
          <cell r="GC33">
            <v>893</v>
          </cell>
          <cell r="GD33">
            <v>721</v>
          </cell>
          <cell r="GE33">
            <v>877</v>
          </cell>
          <cell r="GF33">
            <v>627</v>
          </cell>
          <cell r="GG33">
            <v>837</v>
          </cell>
          <cell r="GH33">
            <v>814</v>
          </cell>
          <cell r="GI33">
            <v>853</v>
          </cell>
          <cell r="GJ33">
            <v>917</v>
          </cell>
          <cell r="GK33">
            <v>975</v>
          </cell>
          <cell r="GL33">
            <v>802</v>
          </cell>
          <cell r="GM33" t="str">
            <v>n.v.</v>
          </cell>
          <cell r="GN33">
            <v>644</v>
          </cell>
          <cell r="GO33">
            <v>1350</v>
          </cell>
          <cell r="GP33">
            <v>1133</v>
          </cell>
          <cell r="GQ33">
            <v>1074</v>
          </cell>
          <cell r="GR33">
            <v>927</v>
          </cell>
          <cell r="GS33">
            <v>1038</v>
          </cell>
          <cell r="GT33">
            <v>946</v>
          </cell>
          <cell r="GU33">
            <v>894</v>
          </cell>
          <cell r="GV33">
            <v>960</v>
          </cell>
          <cell r="GW33">
            <v>1072</v>
          </cell>
          <cell r="GX33">
            <v>891</v>
          </cell>
          <cell r="GY33">
            <v>899</v>
          </cell>
          <cell r="GZ33">
            <v>727</v>
          </cell>
          <cell r="HA33">
            <v>822</v>
          </cell>
          <cell r="HB33">
            <v>663</v>
          </cell>
          <cell r="HC33">
            <v>664</v>
          </cell>
          <cell r="HD33">
            <v>665</v>
          </cell>
          <cell r="HE33">
            <v>650</v>
          </cell>
          <cell r="HF33">
            <v>804</v>
          </cell>
          <cell r="HG33">
            <v>794</v>
          </cell>
          <cell r="HH33">
            <v>785</v>
          </cell>
          <cell r="HI33">
            <v>957</v>
          </cell>
          <cell r="HJ33">
            <v>761</v>
          </cell>
          <cell r="HK33">
            <v>824</v>
          </cell>
          <cell r="HL33">
            <v>740</v>
          </cell>
          <cell r="HM33">
            <v>777</v>
          </cell>
          <cell r="HN33">
            <v>587</v>
          </cell>
          <cell r="HO33">
            <v>676</v>
          </cell>
          <cell r="HP33">
            <v>644</v>
          </cell>
          <cell r="HQ33">
            <v>687</v>
          </cell>
          <cell r="HR33">
            <v>720</v>
          </cell>
          <cell r="HS33">
            <v>727</v>
          </cell>
          <cell r="HT33">
            <v>805</v>
          </cell>
          <cell r="HU33">
            <v>866</v>
          </cell>
          <cell r="HV33">
            <v>751</v>
          </cell>
          <cell r="HW33">
            <v>899</v>
          </cell>
          <cell r="HX33">
            <v>767</v>
          </cell>
          <cell r="HY33">
            <v>769</v>
          </cell>
          <cell r="HZ33">
            <v>654</v>
          </cell>
          <cell r="IA33">
            <v>694</v>
          </cell>
          <cell r="IB33">
            <v>769</v>
          </cell>
          <cell r="IC33">
            <v>785</v>
          </cell>
          <cell r="ID33">
            <v>789</v>
          </cell>
          <cell r="IE33">
            <v>752</v>
          </cell>
          <cell r="IF33">
            <v>730</v>
          </cell>
          <cell r="IG33">
            <v>1048</v>
          </cell>
          <cell r="IH33">
            <v>708</v>
          </cell>
        </row>
        <row r="34">
          <cell r="FC34">
            <v>921</v>
          </cell>
          <cell r="FD34">
            <v>797</v>
          </cell>
          <cell r="FE34">
            <v>1267</v>
          </cell>
          <cell r="FF34">
            <v>907</v>
          </cell>
          <cell r="FG34">
            <v>554</v>
          </cell>
          <cell r="FH34">
            <v>863</v>
          </cell>
          <cell r="FI34">
            <v>848</v>
          </cell>
          <cell r="FJ34">
            <v>844</v>
          </cell>
          <cell r="FK34">
            <v>882</v>
          </cell>
          <cell r="FL34">
            <v>862</v>
          </cell>
          <cell r="FM34">
            <v>776</v>
          </cell>
          <cell r="FN34">
            <v>650</v>
          </cell>
          <cell r="FO34">
            <v>931</v>
          </cell>
          <cell r="FP34">
            <v>852</v>
          </cell>
          <cell r="FQ34">
            <v>847</v>
          </cell>
          <cell r="FR34">
            <v>903</v>
          </cell>
          <cell r="FS34">
            <v>932</v>
          </cell>
          <cell r="FT34">
            <v>973</v>
          </cell>
          <cell r="FU34">
            <v>820</v>
          </cell>
          <cell r="FV34">
            <v>909</v>
          </cell>
          <cell r="FW34">
            <v>866</v>
          </cell>
          <cell r="FX34">
            <v>850</v>
          </cell>
          <cell r="FY34">
            <v>771</v>
          </cell>
          <cell r="FZ34">
            <v>611</v>
          </cell>
          <cell r="GA34">
            <v>898</v>
          </cell>
          <cell r="GB34">
            <v>882</v>
          </cell>
          <cell r="GC34">
            <v>1052</v>
          </cell>
          <cell r="GD34">
            <v>890</v>
          </cell>
          <cell r="GE34">
            <v>1016</v>
          </cell>
          <cell r="GF34">
            <v>728</v>
          </cell>
          <cell r="GG34">
            <v>817</v>
          </cell>
          <cell r="GH34">
            <v>931</v>
          </cell>
          <cell r="GI34">
            <v>777</v>
          </cell>
          <cell r="GJ34">
            <v>785</v>
          </cell>
          <cell r="GK34">
            <v>745</v>
          </cell>
          <cell r="GL34">
            <v>587</v>
          </cell>
          <cell r="GM34" t="str">
            <v>n.v.</v>
          </cell>
          <cell r="GN34">
            <v>915</v>
          </cell>
          <cell r="GO34">
            <v>767</v>
          </cell>
          <cell r="GP34">
            <v>622</v>
          </cell>
          <cell r="GQ34">
            <v>945</v>
          </cell>
          <cell r="GR34">
            <v>696</v>
          </cell>
          <cell r="GS34">
            <v>739</v>
          </cell>
          <cell r="GT34">
            <v>912</v>
          </cell>
          <cell r="GU34">
            <v>879</v>
          </cell>
          <cell r="GV34">
            <v>856</v>
          </cell>
          <cell r="GW34">
            <v>759</v>
          </cell>
          <cell r="GX34">
            <v>597</v>
          </cell>
          <cell r="GY34">
            <v>885</v>
          </cell>
          <cell r="GZ34">
            <v>790</v>
          </cell>
          <cell r="HA34">
            <v>902</v>
          </cell>
          <cell r="HB34">
            <v>853</v>
          </cell>
          <cell r="HC34">
            <v>826</v>
          </cell>
          <cell r="HD34">
            <v>893</v>
          </cell>
          <cell r="HE34">
            <v>865</v>
          </cell>
          <cell r="HF34">
            <v>1043</v>
          </cell>
          <cell r="HG34">
            <v>973</v>
          </cell>
          <cell r="HH34">
            <v>913</v>
          </cell>
          <cell r="HI34">
            <v>811</v>
          </cell>
          <cell r="HJ34">
            <v>721</v>
          </cell>
          <cell r="HK34">
            <v>957</v>
          </cell>
          <cell r="HL34">
            <v>837</v>
          </cell>
          <cell r="HM34">
            <v>1014</v>
          </cell>
          <cell r="HN34">
            <v>949</v>
          </cell>
          <cell r="HO34">
            <v>947</v>
          </cell>
          <cell r="HP34">
            <v>890</v>
          </cell>
          <cell r="HQ34">
            <v>865</v>
          </cell>
          <cell r="HR34">
            <v>914</v>
          </cell>
          <cell r="HS34">
            <v>949</v>
          </cell>
          <cell r="HT34">
            <v>837</v>
          </cell>
          <cell r="HU34">
            <v>824</v>
          </cell>
          <cell r="HV34">
            <v>728</v>
          </cell>
          <cell r="HW34">
            <v>923</v>
          </cell>
          <cell r="HX34">
            <v>765</v>
          </cell>
          <cell r="HY34">
            <v>911</v>
          </cell>
          <cell r="HZ34">
            <v>865</v>
          </cell>
          <cell r="IA34">
            <v>802</v>
          </cell>
          <cell r="IB34">
            <v>856</v>
          </cell>
          <cell r="IC34">
            <v>704</v>
          </cell>
          <cell r="ID34">
            <v>808</v>
          </cell>
          <cell r="IE34">
            <v>813</v>
          </cell>
          <cell r="IF34">
            <v>882</v>
          </cell>
          <cell r="IG34">
            <v>724</v>
          </cell>
          <cell r="IH34">
            <v>591</v>
          </cell>
        </row>
        <row r="35">
          <cell r="FC35">
            <v>532</v>
          </cell>
          <cell r="FD35">
            <v>451</v>
          </cell>
          <cell r="FE35">
            <v>643</v>
          </cell>
          <cell r="FF35">
            <v>581</v>
          </cell>
          <cell r="FG35">
            <v>554</v>
          </cell>
          <cell r="FH35">
            <v>521</v>
          </cell>
          <cell r="FI35">
            <v>520</v>
          </cell>
          <cell r="FJ35">
            <v>580</v>
          </cell>
          <cell r="FK35">
            <v>574</v>
          </cell>
          <cell r="FL35">
            <v>523</v>
          </cell>
          <cell r="FM35">
            <v>452</v>
          </cell>
          <cell r="FN35">
            <v>347</v>
          </cell>
          <cell r="FO35">
            <v>576</v>
          </cell>
          <cell r="FP35">
            <v>520</v>
          </cell>
          <cell r="FQ35">
            <v>510</v>
          </cell>
          <cell r="FR35">
            <v>601</v>
          </cell>
          <cell r="FS35">
            <v>583</v>
          </cell>
          <cell r="FT35">
            <v>532</v>
          </cell>
          <cell r="FU35">
            <v>479</v>
          </cell>
          <cell r="FV35">
            <v>559</v>
          </cell>
          <cell r="FW35">
            <v>560</v>
          </cell>
          <cell r="FX35">
            <v>501</v>
          </cell>
          <cell r="FY35">
            <v>462</v>
          </cell>
          <cell r="FZ35">
            <v>354</v>
          </cell>
          <cell r="GA35">
            <v>587</v>
          </cell>
          <cell r="GB35">
            <v>514</v>
          </cell>
          <cell r="GC35">
            <v>551</v>
          </cell>
          <cell r="GD35">
            <v>550</v>
          </cell>
          <cell r="GE35">
            <v>573</v>
          </cell>
          <cell r="GF35">
            <v>464</v>
          </cell>
          <cell r="GG35">
            <v>492</v>
          </cell>
          <cell r="GH35">
            <v>604</v>
          </cell>
          <cell r="GI35">
            <v>504</v>
          </cell>
          <cell r="GJ35">
            <v>479</v>
          </cell>
          <cell r="GK35">
            <v>452</v>
          </cell>
          <cell r="GL35">
            <v>312</v>
          </cell>
          <cell r="GM35" t="str">
            <v>n.v.</v>
          </cell>
          <cell r="GN35">
            <v>553</v>
          </cell>
          <cell r="GO35">
            <v>471</v>
          </cell>
          <cell r="GP35">
            <v>356</v>
          </cell>
          <cell r="GQ35">
            <v>463</v>
          </cell>
          <cell r="GR35">
            <v>503</v>
          </cell>
          <cell r="GS35">
            <v>522</v>
          </cell>
          <cell r="GT35">
            <v>678</v>
          </cell>
          <cell r="GU35">
            <v>630</v>
          </cell>
          <cell r="GV35">
            <v>573</v>
          </cell>
          <cell r="GW35">
            <v>493</v>
          </cell>
          <cell r="GX35">
            <v>335</v>
          </cell>
          <cell r="GY35">
            <v>551</v>
          </cell>
          <cell r="GZ35">
            <v>499</v>
          </cell>
          <cell r="HA35">
            <v>617</v>
          </cell>
          <cell r="HB35">
            <v>642</v>
          </cell>
          <cell r="HC35">
            <v>608</v>
          </cell>
          <cell r="HD35">
            <v>649</v>
          </cell>
          <cell r="HE35">
            <v>611</v>
          </cell>
          <cell r="HF35">
            <v>745</v>
          </cell>
          <cell r="HG35">
            <v>656</v>
          </cell>
          <cell r="HH35">
            <v>604</v>
          </cell>
          <cell r="HI35">
            <v>527</v>
          </cell>
          <cell r="HJ35">
            <v>408</v>
          </cell>
          <cell r="HK35">
            <v>602</v>
          </cell>
          <cell r="HL35">
            <v>533</v>
          </cell>
          <cell r="HM35">
            <v>627</v>
          </cell>
          <cell r="HN35">
            <v>619</v>
          </cell>
          <cell r="HO35">
            <v>608</v>
          </cell>
          <cell r="HP35">
            <v>556</v>
          </cell>
          <cell r="HQ35">
            <v>539</v>
          </cell>
          <cell r="HR35">
            <v>594</v>
          </cell>
          <cell r="HS35">
            <v>619</v>
          </cell>
          <cell r="HT35">
            <v>505</v>
          </cell>
          <cell r="HU35">
            <v>534</v>
          </cell>
          <cell r="HV35">
            <v>393</v>
          </cell>
          <cell r="HW35">
            <v>574</v>
          </cell>
          <cell r="HX35">
            <v>477</v>
          </cell>
          <cell r="HY35">
            <v>592</v>
          </cell>
          <cell r="HZ35">
            <v>560</v>
          </cell>
          <cell r="IA35">
            <v>478</v>
          </cell>
          <cell r="IB35">
            <v>469</v>
          </cell>
          <cell r="IC35">
            <v>432</v>
          </cell>
          <cell r="ID35">
            <v>539</v>
          </cell>
          <cell r="IE35">
            <v>495</v>
          </cell>
          <cell r="IF35">
            <v>452</v>
          </cell>
          <cell r="IG35">
            <v>429</v>
          </cell>
          <cell r="IH35">
            <v>335</v>
          </cell>
        </row>
        <row r="36">
          <cell r="FC36">
            <v>180</v>
          </cell>
          <cell r="FD36">
            <v>191</v>
          </cell>
          <cell r="FE36">
            <v>211</v>
          </cell>
          <cell r="FF36">
            <v>210</v>
          </cell>
          <cell r="FG36">
            <v>197</v>
          </cell>
          <cell r="FH36">
            <v>183</v>
          </cell>
          <cell r="FI36">
            <v>180</v>
          </cell>
          <cell r="FJ36">
            <v>177</v>
          </cell>
          <cell r="FK36">
            <v>216</v>
          </cell>
          <cell r="FL36">
            <v>185</v>
          </cell>
          <cell r="FM36">
            <v>189</v>
          </cell>
          <cell r="FN36">
            <v>177</v>
          </cell>
          <cell r="FO36">
            <v>226</v>
          </cell>
          <cell r="FP36">
            <v>254</v>
          </cell>
          <cell r="FQ36">
            <v>257</v>
          </cell>
          <cell r="FR36">
            <v>287</v>
          </cell>
          <cell r="FS36">
            <v>306</v>
          </cell>
          <cell r="FT36">
            <v>407</v>
          </cell>
          <cell r="FU36">
            <v>800</v>
          </cell>
          <cell r="FV36">
            <v>819</v>
          </cell>
          <cell r="FW36">
            <v>722</v>
          </cell>
          <cell r="FX36">
            <v>551</v>
          </cell>
          <cell r="FY36">
            <v>745</v>
          </cell>
          <cell r="FZ36">
            <v>577</v>
          </cell>
          <cell r="GA36">
            <v>762</v>
          </cell>
          <cell r="GB36">
            <v>741</v>
          </cell>
          <cell r="GC36">
            <v>865</v>
          </cell>
          <cell r="GD36">
            <v>746</v>
          </cell>
          <cell r="GE36">
            <v>818</v>
          </cell>
          <cell r="GF36">
            <v>979</v>
          </cell>
          <cell r="GG36">
            <v>906</v>
          </cell>
          <cell r="GH36">
            <v>772</v>
          </cell>
          <cell r="GI36">
            <v>794</v>
          </cell>
          <cell r="GJ36">
            <v>705</v>
          </cell>
          <cell r="GK36">
            <v>824</v>
          </cell>
          <cell r="GL36">
            <v>720</v>
          </cell>
          <cell r="GM36">
            <v>1041</v>
          </cell>
          <cell r="GN36">
            <v>770</v>
          </cell>
          <cell r="GO36">
            <v>844</v>
          </cell>
          <cell r="GP36">
            <v>554</v>
          </cell>
          <cell r="GQ36">
            <v>587</v>
          </cell>
          <cell r="GR36">
            <v>874</v>
          </cell>
          <cell r="GS36">
            <v>854</v>
          </cell>
          <cell r="GT36">
            <v>858</v>
          </cell>
          <cell r="GU36">
            <v>953</v>
          </cell>
          <cell r="GV36">
            <v>1297</v>
          </cell>
          <cell r="GW36">
            <v>1193</v>
          </cell>
          <cell r="GX36">
            <v>930</v>
          </cell>
          <cell r="GY36">
            <v>1148</v>
          </cell>
          <cell r="GZ36">
            <v>1153</v>
          </cell>
          <cell r="HA36">
            <v>1318</v>
          </cell>
          <cell r="HB36">
            <v>1247</v>
          </cell>
          <cell r="HC36">
            <v>1597</v>
          </cell>
          <cell r="HD36">
            <v>1731</v>
          </cell>
          <cell r="HE36">
            <v>1632</v>
          </cell>
          <cell r="HF36">
            <v>1692</v>
          </cell>
          <cell r="HG36">
            <v>1458</v>
          </cell>
          <cell r="HH36">
            <v>1278</v>
          </cell>
          <cell r="HI36">
            <v>1433</v>
          </cell>
          <cell r="HJ36">
            <v>1156</v>
          </cell>
          <cell r="HK36">
            <v>1465</v>
          </cell>
          <cell r="HL36">
            <v>1700</v>
          </cell>
          <cell r="HM36">
            <v>1928</v>
          </cell>
          <cell r="HN36">
            <v>1748</v>
          </cell>
          <cell r="HO36">
            <v>1917</v>
          </cell>
          <cell r="HP36">
            <v>1890</v>
          </cell>
          <cell r="HQ36">
            <v>1996</v>
          </cell>
          <cell r="HR36">
            <v>2124</v>
          </cell>
          <cell r="HS36">
            <v>2222</v>
          </cell>
          <cell r="HT36">
            <v>2190</v>
          </cell>
          <cell r="HU36">
            <v>1746</v>
          </cell>
          <cell r="HV36">
            <v>1672</v>
          </cell>
          <cell r="HW36">
            <v>1414</v>
          </cell>
          <cell r="HX36">
            <v>1822</v>
          </cell>
          <cell r="HY36">
            <v>2298</v>
          </cell>
          <cell r="HZ36">
            <v>1667</v>
          </cell>
          <cell r="IA36">
            <v>2021</v>
          </cell>
          <cell r="IB36">
            <v>2158</v>
          </cell>
          <cell r="IC36">
            <v>1763</v>
          </cell>
          <cell r="ID36">
            <v>1626</v>
          </cell>
          <cell r="IE36">
            <v>1921</v>
          </cell>
          <cell r="IF36">
            <v>1790</v>
          </cell>
          <cell r="IG36">
            <v>1396</v>
          </cell>
          <cell r="IH36">
            <v>1332</v>
          </cell>
        </row>
        <row r="38">
          <cell r="FC38">
            <v>1353</v>
          </cell>
          <cell r="FD38">
            <v>1424</v>
          </cell>
          <cell r="FE38">
            <v>1429</v>
          </cell>
          <cell r="FF38">
            <v>1438</v>
          </cell>
          <cell r="FG38">
            <v>1527</v>
          </cell>
          <cell r="FH38">
            <v>1588</v>
          </cell>
          <cell r="FI38">
            <v>1668</v>
          </cell>
          <cell r="FJ38">
            <v>1654</v>
          </cell>
          <cell r="FK38">
            <v>1637</v>
          </cell>
          <cell r="FL38">
            <v>1582</v>
          </cell>
          <cell r="FM38">
            <v>1600</v>
          </cell>
          <cell r="FN38">
            <v>1500</v>
          </cell>
          <cell r="FO38">
            <v>1452</v>
          </cell>
          <cell r="FP38">
            <v>1438</v>
          </cell>
          <cell r="FQ38">
            <v>1593</v>
          </cell>
          <cell r="FR38">
            <v>1690</v>
          </cell>
          <cell r="FS38">
            <v>1666</v>
          </cell>
          <cell r="FT38">
            <v>1671</v>
          </cell>
          <cell r="FU38">
            <v>1671</v>
          </cell>
          <cell r="FV38">
            <v>1623</v>
          </cell>
          <cell r="FW38">
            <v>1556</v>
          </cell>
          <cell r="FX38">
            <v>1558</v>
          </cell>
          <cell r="FY38">
            <v>1546</v>
          </cell>
          <cell r="FZ38">
            <v>1443</v>
          </cell>
          <cell r="GA38">
            <v>1381</v>
          </cell>
          <cell r="GB38">
            <v>1384</v>
          </cell>
          <cell r="GC38">
            <v>1441</v>
          </cell>
          <cell r="GD38">
            <v>1511</v>
          </cell>
          <cell r="GE38">
            <v>1485</v>
          </cell>
          <cell r="GF38">
            <v>1477</v>
          </cell>
          <cell r="GG38">
            <v>1514</v>
          </cell>
          <cell r="GH38">
            <v>1448</v>
          </cell>
          <cell r="GI38">
            <v>1413</v>
          </cell>
          <cell r="GJ38">
            <v>1432</v>
          </cell>
          <cell r="GK38">
            <v>1401</v>
          </cell>
          <cell r="GL38">
            <v>1344</v>
          </cell>
          <cell r="GM38">
            <v>1330</v>
          </cell>
          <cell r="GN38">
            <v>1314</v>
          </cell>
          <cell r="GO38">
            <v>1412</v>
          </cell>
          <cell r="GP38">
            <v>1501</v>
          </cell>
          <cell r="GQ38">
            <v>1550</v>
          </cell>
          <cell r="GR38">
            <v>1695</v>
          </cell>
          <cell r="GS38">
            <v>1800</v>
          </cell>
          <cell r="GT38">
            <v>1793</v>
          </cell>
          <cell r="GU38">
            <v>1836</v>
          </cell>
          <cell r="GV38">
            <v>1858</v>
          </cell>
          <cell r="GW38">
            <v>1987</v>
          </cell>
          <cell r="GX38">
            <v>1895</v>
          </cell>
          <cell r="GY38">
            <v>1765</v>
          </cell>
          <cell r="GZ38">
            <v>1813</v>
          </cell>
          <cell r="HA38">
            <v>2015</v>
          </cell>
          <cell r="HB38">
            <v>2093</v>
          </cell>
          <cell r="HC38">
            <v>2203</v>
          </cell>
          <cell r="HD38">
            <v>2246</v>
          </cell>
          <cell r="HE38">
            <v>2222</v>
          </cell>
          <cell r="HF38">
            <v>2130</v>
          </cell>
          <cell r="HG38">
            <v>2055</v>
          </cell>
          <cell r="HH38">
            <v>2028</v>
          </cell>
          <cell r="HI38">
            <v>1998</v>
          </cell>
          <cell r="HJ38">
            <v>1886</v>
          </cell>
          <cell r="HK38">
            <v>1823</v>
          </cell>
          <cell r="HL38">
            <v>1788</v>
          </cell>
          <cell r="HM38">
            <v>1800</v>
          </cell>
          <cell r="HN38">
            <v>1770</v>
          </cell>
          <cell r="HO38">
            <v>1801</v>
          </cell>
          <cell r="HP38">
            <v>1747</v>
          </cell>
          <cell r="HQ38">
            <v>1653</v>
          </cell>
          <cell r="HR38">
            <v>1575</v>
          </cell>
          <cell r="HS38">
            <v>1485</v>
          </cell>
          <cell r="HT38">
            <v>1461</v>
          </cell>
          <cell r="HU38">
            <v>1410</v>
          </cell>
          <cell r="HV38">
            <v>1236</v>
          </cell>
          <cell r="HW38">
            <v>1143</v>
          </cell>
          <cell r="HX38">
            <v>1204</v>
          </cell>
          <cell r="HY38">
            <v>1186</v>
          </cell>
          <cell r="HZ38">
            <v>1149</v>
          </cell>
          <cell r="IA38">
            <v>1152</v>
          </cell>
          <cell r="IB38">
            <v>1147</v>
          </cell>
          <cell r="IC38">
            <v>1092</v>
          </cell>
          <cell r="ID38">
            <v>1065</v>
          </cell>
          <cell r="IE38">
            <v>1052</v>
          </cell>
          <cell r="IF38">
            <v>1089</v>
          </cell>
          <cell r="IG38">
            <v>1083</v>
          </cell>
          <cell r="IH38">
            <v>1019</v>
          </cell>
        </row>
        <row r="39">
          <cell r="FC39">
            <v>351</v>
          </cell>
          <cell r="FD39">
            <v>384</v>
          </cell>
          <cell r="FE39">
            <v>377</v>
          </cell>
          <cell r="FF39">
            <v>385</v>
          </cell>
          <cell r="FG39">
            <v>400</v>
          </cell>
          <cell r="FH39">
            <v>377</v>
          </cell>
          <cell r="FI39">
            <v>334</v>
          </cell>
          <cell r="FJ39">
            <v>317</v>
          </cell>
          <cell r="FK39">
            <v>390</v>
          </cell>
          <cell r="FL39">
            <v>413</v>
          </cell>
          <cell r="FM39">
            <v>409</v>
          </cell>
          <cell r="FN39">
            <v>361</v>
          </cell>
          <cell r="FO39">
            <v>428</v>
          </cell>
          <cell r="FP39">
            <v>449</v>
          </cell>
          <cell r="FQ39">
            <v>329</v>
          </cell>
          <cell r="FR39">
            <v>331</v>
          </cell>
          <cell r="FS39">
            <v>316</v>
          </cell>
          <cell r="FT39">
            <v>258</v>
          </cell>
          <cell r="FU39">
            <v>188</v>
          </cell>
          <cell r="FV39">
            <v>175</v>
          </cell>
          <cell r="FW39">
            <v>224</v>
          </cell>
          <cell r="FX39">
            <v>262</v>
          </cell>
          <cell r="FY39">
            <v>268</v>
          </cell>
          <cell r="FZ39">
            <v>262</v>
          </cell>
          <cell r="GA39">
            <v>290</v>
          </cell>
          <cell r="GB39">
            <v>301</v>
          </cell>
          <cell r="GC39">
            <v>290</v>
          </cell>
          <cell r="GD39">
            <v>290</v>
          </cell>
          <cell r="GE39">
            <v>256</v>
          </cell>
          <cell r="GF39">
            <v>245</v>
          </cell>
          <cell r="GG39">
            <v>171</v>
          </cell>
          <cell r="GH39">
            <v>143</v>
          </cell>
          <cell r="GI39">
            <v>200</v>
          </cell>
          <cell r="GJ39">
            <v>246</v>
          </cell>
          <cell r="GK39">
            <v>259</v>
          </cell>
          <cell r="GL39">
            <v>238</v>
          </cell>
          <cell r="GM39">
            <v>260</v>
          </cell>
          <cell r="GN39">
            <v>235</v>
          </cell>
          <cell r="GO39">
            <v>165</v>
          </cell>
          <cell r="GP39">
            <v>142</v>
          </cell>
          <cell r="GQ39">
            <v>145</v>
          </cell>
          <cell r="GR39">
            <v>190</v>
          </cell>
          <cell r="GS39">
            <v>204</v>
          </cell>
          <cell r="GT39">
            <v>205</v>
          </cell>
          <cell r="GU39">
            <v>243</v>
          </cell>
          <cell r="GV39">
            <v>269</v>
          </cell>
          <cell r="GW39">
            <v>306</v>
          </cell>
          <cell r="GX39">
            <v>289</v>
          </cell>
          <cell r="GY39">
            <v>314</v>
          </cell>
          <cell r="GZ39">
            <v>304</v>
          </cell>
          <cell r="HA39">
            <v>334</v>
          </cell>
          <cell r="HB39">
            <v>304</v>
          </cell>
          <cell r="HC39">
            <v>336</v>
          </cell>
          <cell r="HD39">
            <v>297</v>
          </cell>
          <cell r="HE39">
            <v>274</v>
          </cell>
          <cell r="HF39">
            <v>227</v>
          </cell>
          <cell r="HG39">
            <v>245</v>
          </cell>
          <cell r="HH39">
            <v>233</v>
          </cell>
          <cell r="HI39">
            <v>252</v>
          </cell>
          <cell r="HJ39">
            <v>222</v>
          </cell>
          <cell r="HK39">
            <v>275</v>
          </cell>
          <cell r="HL39">
            <v>290</v>
          </cell>
          <cell r="HM39">
            <v>275</v>
          </cell>
          <cell r="HN39">
            <v>236</v>
          </cell>
          <cell r="HO39">
            <v>248</v>
          </cell>
          <cell r="HP39">
            <v>215</v>
          </cell>
          <cell r="HQ39">
            <v>150</v>
          </cell>
          <cell r="HR39">
            <v>132</v>
          </cell>
          <cell r="HS39">
            <v>148</v>
          </cell>
          <cell r="HT39">
            <v>179</v>
          </cell>
          <cell r="HU39">
            <v>179</v>
          </cell>
          <cell r="HV39">
            <v>181</v>
          </cell>
          <cell r="HW39">
            <v>222</v>
          </cell>
          <cell r="HX39">
            <v>228</v>
          </cell>
          <cell r="HY39">
            <v>224</v>
          </cell>
          <cell r="HZ39">
            <v>211</v>
          </cell>
          <cell r="IA39">
            <v>217</v>
          </cell>
          <cell r="IB39">
            <v>195</v>
          </cell>
          <cell r="IC39">
            <v>153</v>
          </cell>
          <cell r="ID39">
            <v>144</v>
          </cell>
          <cell r="IE39">
            <v>140</v>
          </cell>
          <cell r="IF39">
            <v>177</v>
          </cell>
          <cell r="IG39">
            <v>196</v>
          </cell>
          <cell r="IH39">
            <v>174</v>
          </cell>
        </row>
        <row r="40">
          <cell r="FC40">
            <v>185</v>
          </cell>
          <cell r="FD40">
            <v>196</v>
          </cell>
          <cell r="FE40">
            <v>202</v>
          </cell>
          <cell r="FF40">
            <v>171</v>
          </cell>
          <cell r="FG40">
            <v>167</v>
          </cell>
          <cell r="FH40">
            <v>161</v>
          </cell>
          <cell r="FI40">
            <v>141</v>
          </cell>
          <cell r="FJ40">
            <v>143</v>
          </cell>
          <cell r="FK40">
            <v>151</v>
          </cell>
          <cell r="FL40">
            <v>152</v>
          </cell>
          <cell r="FM40">
            <v>152</v>
          </cell>
          <cell r="FN40">
            <v>133</v>
          </cell>
          <cell r="FO40">
            <v>190</v>
          </cell>
          <cell r="FP40">
            <v>189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3</v>
          </cell>
          <cell r="FW40">
            <v>3</v>
          </cell>
          <cell r="FX40">
            <v>8</v>
          </cell>
          <cell r="FY40">
            <v>7</v>
          </cell>
          <cell r="FZ40">
            <v>5</v>
          </cell>
          <cell r="GA40">
            <v>4</v>
          </cell>
          <cell r="GB40">
            <v>5</v>
          </cell>
          <cell r="GC40">
            <v>4</v>
          </cell>
          <cell r="GD40">
            <v>4</v>
          </cell>
          <cell r="GE40">
            <v>5</v>
          </cell>
          <cell r="GF40">
            <v>6</v>
          </cell>
          <cell r="GG40">
            <v>1</v>
          </cell>
          <cell r="GH40">
            <v>2</v>
          </cell>
          <cell r="GI40">
            <v>3</v>
          </cell>
          <cell r="GJ40">
            <v>6</v>
          </cell>
          <cell r="GK40">
            <v>4</v>
          </cell>
          <cell r="GL40">
            <v>1</v>
          </cell>
          <cell r="GM40">
            <v>3</v>
          </cell>
          <cell r="GN40">
            <v>9</v>
          </cell>
          <cell r="GO40">
            <v>14</v>
          </cell>
          <cell r="GP40">
            <v>4</v>
          </cell>
          <cell r="GQ40">
            <v>5</v>
          </cell>
          <cell r="GR40">
            <v>6</v>
          </cell>
          <cell r="GS40">
            <v>9</v>
          </cell>
          <cell r="GT40">
            <v>11</v>
          </cell>
          <cell r="GU40">
            <v>14</v>
          </cell>
          <cell r="GV40">
            <v>10</v>
          </cell>
          <cell r="GW40">
            <v>12</v>
          </cell>
          <cell r="GX40">
            <v>9</v>
          </cell>
          <cell r="GY40">
            <v>9</v>
          </cell>
          <cell r="GZ40">
            <v>9</v>
          </cell>
          <cell r="HA40">
            <v>10</v>
          </cell>
          <cell r="HB40">
            <v>14</v>
          </cell>
          <cell r="HC40">
            <v>11</v>
          </cell>
          <cell r="HD40">
            <v>10</v>
          </cell>
          <cell r="HE40">
            <v>3</v>
          </cell>
          <cell r="HF40">
            <v>2</v>
          </cell>
          <cell r="HG40">
            <v>2</v>
          </cell>
          <cell r="HH40">
            <v>5</v>
          </cell>
          <cell r="HI40">
            <v>9</v>
          </cell>
          <cell r="HJ40">
            <v>5</v>
          </cell>
          <cell r="HK40">
            <v>10</v>
          </cell>
          <cell r="HL40">
            <v>9</v>
          </cell>
          <cell r="HM40">
            <v>4</v>
          </cell>
          <cell r="HN40">
            <v>3</v>
          </cell>
          <cell r="HO40">
            <v>1</v>
          </cell>
          <cell r="HP40">
            <v>1</v>
          </cell>
          <cell r="HQ40">
            <v>0</v>
          </cell>
          <cell r="HR40">
            <v>0</v>
          </cell>
          <cell r="HS40">
            <v>0</v>
          </cell>
          <cell r="HT40">
            <v>4</v>
          </cell>
          <cell r="HU40">
            <v>4</v>
          </cell>
          <cell r="HV40">
            <v>4</v>
          </cell>
          <cell r="HW40">
            <v>8</v>
          </cell>
          <cell r="HX40">
            <v>7</v>
          </cell>
          <cell r="HY40">
            <v>2</v>
          </cell>
          <cell r="HZ40">
            <v>6</v>
          </cell>
          <cell r="IA40">
            <v>7</v>
          </cell>
          <cell r="IB40">
            <v>4</v>
          </cell>
          <cell r="IC40">
            <v>6</v>
          </cell>
          <cell r="ID40">
            <v>7</v>
          </cell>
          <cell r="IE40">
            <v>5</v>
          </cell>
          <cell r="IF40">
            <v>5</v>
          </cell>
          <cell r="IG40">
            <v>6</v>
          </cell>
          <cell r="IH40">
            <v>5</v>
          </cell>
        </row>
        <row r="41">
          <cell r="FC41">
            <v>676</v>
          </cell>
          <cell r="FD41">
            <v>654</v>
          </cell>
          <cell r="FE41">
            <v>749</v>
          </cell>
          <cell r="FF41">
            <v>645</v>
          </cell>
          <cell r="FG41">
            <v>638</v>
          </cell>
          <cell r="FH41">
            <v>684</v>
          </cell>
          <cell r="FI41">
            <v>703</v>
          </cell>
          <cell r="FJ41">
            <v>590</v>
          </cell>
          <cell r="FK41">
            <v>649</v>
          </cell>
          <cell r="FL41">
            <v>631</v>
          </cell>
          <cell r="FM41">
            <v>711</v>
          </cell>
          <cell r="FN41">
            <v>660</v>
          </cell>
          <cell r="FO41">
            <v>615</v>
          </cell>
          <cell r="FP41">
            <v>631</v>
          </cell>
          <cell r="FQ41">
            <v>647</v>
          </cell>
          <cell r="FR41">
            <v>770</v>
          </cell>
          <cell r="FS41">
            <v>907</v>
          </cell>
          <cell r="FT41">
            <v>847</v>
          </cell>
          <cell r="FU41">
            <v>1030</v>
          </cell>
          <cell r="FV41">
            <v>980</v>
          </cell>
          <cell r="FW41">
            <v>999</v>
          </cell>
          <cell r="FX41">
            <v>1132</v>
          </cell>
          <cell r="FY41">
            <v>1306</v>
          </cell>
          <cell r="FZ41">
            <v>1307</v>
          </cell>
          <cell r="GA41">
            <v>1214</v>
          </cell>
          <cell r="GB41">
            <v>1161</v>
          </cell>
          <cell r="GC41">
            <v>1174</v>
          </cell>
          <cell r="GD41">
            <v>1166</v>
          </cell>
          <cell r="GE41">
            <v>1224</v>
          </cell>
          <cell r="GF41">
            <v>1216</v>
          </cell>
          <cell r="GG41">
            <v>1274</v>
          </cell>
          <cell r="GH41">
            <v>1168</v>
          </cell>
          <cell r="GI41">
            <v>1162</v>
          </cell>
          <cell r="GJ41">
            <v>1166</v>
          </cell>
          <cell r="GK41">
            <v>1279</v>
          </cell>
          <cell r="GL41">
            <v>1277</v>
          </cell>
          <cell r="GM41">
            <v>1095</v>
          </cell>
          <cell r="GN41">
            <v>978</v>
          </cell>
          <cell r="GO41">
            <v>1083</v>
          </cell>
          <cell r="GP41">
            <v>1098</v>
          </cell>
          <cell r="GQ41">
            <v>1105</v>
          </cell>
          <cell r="GR41">
            <v>1228</v>
          </cell>
          <cell r="GS41">
            <v>1381</v>
          </cell>
          <cell r="GT41">
            <v>1139</v>
          </cell>
          <cell r="GU41">
            <v>1166</v>
          </cell>
          <cell r="GV41">
            <v>1252</v>
          </cell>
          <cell r="GW41">
            <v>1397</v>
          </cell>
          <cell r="GX41">
            <v>1415</v>
          </cell>
          <cell r="GY41">
            <v>1240</v>
          </cell>
          <cell r="GZ41">
            <v>1157</v>
          </cell>
          <cell r="HA41">
            <v>1208</v>
          </cell>
          <cell r="HB41">
            <v>1187</v>
          </cell>
          <cell r="HC41">
            <v>1137</v>
          </cell>
          <cell r="HD41">
            <v>1130</v>
          </cell>
          <cell r="HE41">
            <v>1098</v>
          </cell>
          <cell r="HF41">
            <v>1011</v>
          </cell>
          <cell r="HG41">
            <v>1093</v>
          </cell>
          <cell r="HH41">
            <v>1126</v>
          </cell>
          <cell r="HI41">
            <v>1254</v>
          </cell>
          <cell r="HJ41">
            <v>1202</v>
          </cell>
          <cell r="HK41">
            <v>1019</v>
          </cell>
          <cell r="HL41">
            <v>1024</v>
          </cell>
          <cell r="HM41">
            <v>1057</v>
          </cell>
          <cell r="HN41">
            <v>953</v>
          </cell>
          <cell r="HO41">
            <v>944</v>
          </cell>
          <cell r="HP41">
            <v>984</v>
          </cell>
          <cell r="HQ41">
            <v>971</v>
          </cell>
          <cell r="HR41">
            <v>785</v>
          </cell>
          <cell r="HS41">
            <v>911</v>
          </cell>
          <cell r="HT41">
            <v>962</v>
          </cell>
          <cell r="HU41">
            <v>1040</v>
          </cell>
          <cell r="HV41">
            <v>971</v>
          </cell>
          <cell r="HW41">
            <v>920</v>
          </cell>
          <cell r="HX41">
            <v>901</v>
          </cell>
          <cell r="HY41">
            <v>919</v>
          </cell>
          <cell r="HZ41">
            <v>874</v>
          </cell>
          <cell r="IA41">
            <v>833</v>
          </cell>
          <cell r="IB41">
            <v>932</v>
          </cell>
          <cell r="IC41">
            <v>1026</v>
          </cell>
          <cell r="ID41">
            <v>927</v>
          </cell>
          <cell r="IE41">
            <v>922</v>
          </cell>
          <cell r="IF41">
            <v>1004</v>
          </cell>
          <cell r="IG41">
            <v>1160</v>
          </cell>
          <cell r="IH41">
            <v>1038</v>
          </cell>
        </row>
        <row r="42">
          <cell r="FC42">
            <v>4744</v>
          </cell>
          <cell r="FD42">
            <v>4602</v>
          </cell>
          <cell r="FE42">
            <v>4420</v>
          </cell>
          <cell r="FF42">
            <v>4281</v>
          </cell>
          <cell r="FG42">
            <v>4074</v>
          </cell>
          <cell r="FH42">
            <v>3860</v>
          </cell>
          <cell r="FI42">
            <v>3900</v>
          </cell>
          <cell r="FJ42">
            <v>3953</v>
          </cell>
          <cell r="FK42">
            <v>3801</v>
          </cell>
          <cell r="FL42">
            <v>3782</v>
          </cell>
          <cell r="FM42">
            <v>3869</v>
          </cell>
          <cell r="FN42">
            <v>4193</v>
          </cell>
          <cell r="FO42">
            <v>4160</v>
          </cell>
          <cell r="FP42">
            <v>4052</v>
          </cell>
          <cell r="FQ42">
            <v>4095</v>
          </cell>
          <cell r="FR42">
            <v>3633</v>
          </cell>
          <cell r="FS42">
            <v>3265</v>
          </cell>
          <cell r="FT42">
            <v>3088</v>
          </cell>
          <cell r="FU42">
            <v>2991</v>
          </cell>
          <cell r="FV42">
            <v>3048</v>
          </cell>
          <cell r="FW42">
            <v>2996</v>
          </cell>
          <cell r="FX42">
            <v>2865</v>
          </cell>
          <cell r="FY42">
            <v>2885</v>
          </cell>
          <cell r="FZ42">
            <v>3113</v>
          </cell>
          <cell r="GA42">
            <v>3218</v>
          </cell>
          <cell r="GB42">
            <v>3133</v>
          </cell>
          <cell r="GC42">
            <v>2977</v>
          </cell>
          <cell r="GD42">
            <v>2744</v>
          </cell>
          <cell r="GE42">
            <v>2610</v>
          </cell>
          <cell r="GF42">
            <v>2531</v>
          </cell>
          <cell r="GG42">
            <v>2540</v>
          </cell>
          <cell r="GH42">
            <v>2629</v>
          </cell>
          <cell r="GI42">
            <v>2683</v>
          </cell>
          <cell r="GJ42">
            <v>2761</v>
          </cell>
          <cell r="GK42">
            <v>2900</v>
          </cell>
          <cell r="GL42">
            <v>3199</v>
          </cell>
          <cell r="GM42">
            <v>3405</v>
          </cell>
          <cell r="GN42">
            <v>3408</v>
          </cell>
          <cell r="GO42">
            <v>3858</v>
          </cell>
          <cell r="GP42">
            <v>4304</v>
          </cell>
          <cell r="GQ42">
            <v>4446</v>
          </cell>
          <cell r="GR42">
            <v>4366</v>
          </cell>
          <cell r="GS42">
            <v>4393</v>
          </cell>
          <cell r="GT42">
            <v>4675</v>
          </cell>
          <cell r="GU42">
            <v>4581</v>
          </cell>
          <cell r="GV42">
            <v>4558</v>
          </cell>
          <cell r="GW42">
            <v>4560</v>
          </cell>
          <cell r="GX42">
            <v>4951</v>
          </cell>
          <cell r="GY42">
            <v>5246</v>
          </cell>
          <cell r="GZ42">
            <v>5243</v>
          </cell>
          <cell r="HA42">
            <v>4877</v>
          </cell>
          <cell r="HB42">
            <v>4672</v>
          </cell>
          <cell r="HC42">
            <v>4432</v>
          </cell>
          <cell r="HD42">
            <v>4215</v>
          </cell>
          <cell r="HE42">
            <v>4085</v>
          </cell>
          <cell r="HF42">
            <v>4077</v>
          </cell>
          <cell r="HG42">
            <v>3875</v>
          </cell>
          <cell r="HH42">
            <v>3741</v>
          </cell>
          <cell r="HI42">
            <v>3780</v>
          </cell>
          <cell r="HJ42">
            <v>4023</v>
          </cell>
          <cell r="HK42">
            <v>4081</v>
          </cell>
          <cell r="HL42">
            <v>4008</v>
          </cell>
          <cell r="HM42">
            <v>3762</v>
          </cell>
          <cell r="HN42">
            <v>3574</v>
          </cell>
          <cell r="HO42">
            <v>3267</v>
          </cell>
          <cell r="HP42">
            <v>3068</v>
          </cell>
          <cell r="HQ42">
            <v>3069</v>
          </cell>
          <cell r="HR42">
            <v>3087</v>
          </cell>
          <cell r="HS42">
            <v>2878</v>
          </cell>
          <cell r="HT42">
            <v>2787</v>
          </cell>
          <cell r="HU42">
            <v>2814</v>
          </cell>
          <cell r="HV42">
            <v>3074</v>
          </cell>
          <cell r="HW42">
            <v>3149</v>
          </cell>
          <cell r="HX42">
            <v>3107</v>
          </cell>
          <cell r="HY42">
            <v>2984</v>
          </cell>
          <cell r="HZ42">
            <v>2870</v>
          </cell>
          <cell r="IA42">
            <v>2792</v>
          </cell>
          <cell r="IB42">
            <v>2642</v>
          </cell>
          <cell r="IC42">
            <v>2731</v>
          </cell>
          <cell r="ID42">
            <v>2855</v>
          </cell>
          <cell r="IE42">
            <v>2817</v>
          </cell>
          <cell r="IF42">
            <v>2815</v>
          </cell>
          <cell r="IG42">
            <v>2963</v>
          </cell>
          <cell r="IH42">
            <v>3295</v>
          </cell>
        </row>
        <row r="44">
          <cell r="EC44">
            <v>87</v>
          </cell>
          <cell r="ED44">
            <v>109</v>
          </cell>
          <cell r="EE44">
            <v>91</v>
          </cell>
          <cell r="EF44">
            <v>82</v>
          </cell>
          <cell r="EG44">
            <v>86</v>
          </cell>
          <cell r="EH44">
            <v>86</v>
          </cell>
          <cell r="EI44">
            <v>88</v>
          </cell>
          <cell r="EJ44">
            <v>94</v>
          </cell>
          <cell r="EK44">
            <v>91</v>
          </cell>
          <cell r="EL44">
            <v>65</v>
          </cell>
          <cell r="EM44">
            <v>87</v>
          </cell>
          <cell r="EN44">
            <v>94</v>
          </cell>
          <cell r="EO44">
            <v>75</v>
          </cell>
          <cell r="EP44">
            <v>114</v>
          </cell>
          <cell r="EQ44">
            <v>86</v>
          </cell>
          <cell r="ER44">
            <v>119</v>
          </cell>
          <cell r="ES44">
            <v>110</v>
          </cell>
          <cell r="ET44">
            <v>96</v>
          </cell>
          <cell r="EU44">
            <v>119</v>
          </cell>
          <cell r="EV44">
            <v>113</v>
          </cell>
          <cell r="EW44">
            <v>83</v>
          </cell>
          <cell r="EX44">
            <v>108</v>
          </cell>
          <cell r="EY44">
            <v>88</v>
          </cell>
          <cell r="EZ44">
            <v>113</v>
          </cell>
          <cell r="FA44">
            <v>89</v>
          </cell>
          <cell r="FB44">
            <v>124</v>
          </cell>
          <cell r="FC44">
            <v>97</v>
          </cell>
          <cell r="FD44">
            <v>118</v>
          </cell>
          <cell r="FE44">
            <v>125</v>
          </cell>
          <cell r="FF44">
            <v>114</v>
          </cell>
          <cell r="FG44">
            <v>131</v>
          </cell>
          <cell r="FH44">
            <v>128</v>
          </cell>
          <cell r="FI44">
            <v>98</v>
          </cell>
          <cell r="FJ44">
            <v>119</v>
          </cell>
          <cell r="FK44">
            <v>109</v>
          </cell>
          <cell r="FL44">
            <v>68</v>
          </cell>
          <cell r="FM44">
            <v>112</v>
          </cell>
          <cell r="FN44">
            <v>116</v>
          </cell>
          <cell r="FO44">
            <v>116</v>
          </cell>
          <cell r="FP44">
            <v>76</v>
          </cell>
          <cell r="FQ44">
            <v>75</v>
          </cell>
          <cell r="FR44">
            <v>96</v>
          </cell>
          <cell r="FS44">
            <v>119</v>
          </cell>
          <cell r="FT44">
            <v>102</v>
          </cell>
          <cell r="FU44">
            <v>98</v>
          </cell>
          <cell r="FV44">
            <v>89</v>
          </cell>
          <cell r="FW44">
            <v>76</v>
          </cell>
          <cell r="FX44">
            <v>85</v>
          </cell>
          <cell r="FY44">
            <v>74</v>
          </cell>
          <cell r="FZ44">
            <v>73</v>
          </cell>
          <cell r="GA44">
            <v>93</v>
          </cell>
          <cell r="GB44">
            <v>78</v>
          </cell>
          <cell r="GC44">
            <v>73</v>
          </cell>
          <cell r="GD44">
            <v>103</v>
          </cell>
          <cell r="GE44">
            <v>72</v>
          </cell>
          <cell r="GF44">
            <v>76</v>
          </cell>
          <cell r="GG44">
            <v>88</v>
          </cell>
          <cell r="GH44">
            <v>71</v>
          </cell>
          <cell r="GI44">
            <v>49</v>
          </cell>
          <cell r="GJ44">
            <v>85</v>
          </cell>
          <cell r="GK44">
            <v>74</v>
          </cell>
          <cell r="GL44">
            <v>83</v>
          </cell>
          <cell r="GM44">
            <v>80</v>
          </cell>
          <cell r="GN44">
            <v>54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12</v>
          </cell>
          <cell r="GU44">
            <v>44</v>
          </cell>
          <cell r="GV44">
            <v>59</v>
          </cell>
          <cell r="GW44">
            <v>70</v>
          </cell>
          <cell r="GX44">
            <v>65</v>
          </cell>
          <cell r="GY44">
            <v>102</v>
          </cell>
          <cell r="HK44">
            <v>66</v>
          </cell>
          <cell r="HL44">
            <v>52</v>
          </cell>
          <cell r="HM44">
            <v>89</v>
          </cell>
          <cell r="HN44">
            <v>88</v>
          </cell>
          <cell r="HO44">
            <v>75</v>
          </cell>
          <cell r="HP44">
            <v>97</v>
          </cell>
          <cell r="HQ44">
            <v>97</v>
          </cell>
          <cell r="HR44">
            <v>90</v>
          </cell>
          <cell r="HS44">
            <v>92</v>
          </cell>
          <cell r="HT44">
            <v>62</v>
          </cell>
          <cell r="HU44">
            <v>216</v>
          </cell>
          <cell r="HV44">
            <v>82</v>
          </cell>
          <cell r="HW44">
            <v>58</v>
          </cell>
          <cell r="HX44">
            <v>73</v>
          </cell>
          <cell r="HY44">
            <v>94</v>
          </cell>
          <cell r="HZ44">
            <v>76</v>
          </cell>
          <cell r="IA44">
            <v>125</v>
          </cell>
          <cell r="IB44">
            <v>57</v>
          </cell>
          <cell r="IC44">
            <v>40</v>
          </cell>
          <cell r="ID44">
            <v>73</v>
          </cell>
          <cell r="IE44">
            <v>59</v>
          </cell>
          <cell r="IF44">
            <v>56</v>
          </cell>
          <cell r="IG44">
            <v>65</v>
          </cell>
          <cell r="IH44">
            <v>42</v>
          </cell>
        </row>
        <row r="47">
          <cell r="FC47">
            <v>2306</v>
          </cell>
          <cell r="FD47">
            <v>2107</v>
          </cell>
          <cell r="FE47">
            <v>2181</v>
          </cell>
          <cell r="FF47">
            <v>1933</v>
          </cell>
          <cell r="FG47">
            <v>1806</v>
          </cell>
          <cell r="FH47">
            <v>1790</v>
          </cell>
          <cell r="FI47">
            <v>1980</v>
          </cell>
          <cell r="FJ47">
            <v>2020</v>
          </cell>
          <cell r="FK47">
            <v>2114</v>
          </cell>
          <cell r="FL47">
            <v>2017</v>
          </cell>
          <cell r="FM47">
            <v>2131</v>
          </cell>
          <cell r="FN47">
            <v>2106</v>
          </cell>
          <cell r="FO47">
            <v>2143</v>
          </cell>
          <cell r="FP47">
            <v>1967</v>
          </cell>
          <cell r="FQ47">
            <v>1948</v>
          </cell>
          <cell r="FR47">
            <v>1758</v>
          </cell>
          <cell r="FS47">
            <v>1580</v>
          </cell>
          <cell r="FT47">
            <v>1605</v>
          </cell>
          <cell r="FU47">
            <v>1766</v>
          </cell>
          <cell r="FV47">
            <v>1894</v>
          </cell>
          <cell r="FW47">
            <v>1937</v>
          </cell>
          <cell r="FX47">
            <v>2014</v>
          </cell>
          <cell r="FY47">
            <v>2195</v>
          </cell>
          <cell r="FZ47">
            <v>2100</v>
          </cell>
          <cell r="GA47">
            <v>2013</v>
          </cell>
          <cell r="GB47">
            <v>1887</v>
          </cell>
          <cell r="GC47">
            <v>1910</v>
          </cell>
          <cell r="GD47">
            <v>1811</v>
          </cell>
          <cell r="GE47">
            <v>1764</v>
          </cell>
          <cell r="GF47">
            <v>1667</v>
          </cell>
          <cell r="GG47">
            <v>1743</v>
          </cell>
          <cell r="GH47">
            <v>1855</v>
          </cell>
          <cell r="GI47">
            <v>1948</v>
          </cell>
          <cell r="GJ47">
            <v>2091</v>
          </cell>
          <cell r="GK47">
            <v>2252</v>
          </cell>
          <cell r="GL47">
            <v>2223</v>
          </cell>
          <cell r="GM47">
            <v>2197</v>
          </cell>
          <cell r="GN47">
            <v>1936</v>
          </cell>
          <cell r="GO47">
            <v>2402</v>
          </cell>
          <cell r="GP47">
            <v>2612</v>
          </cell>
          <cell r="GQ47">
            <v>2550</v>
          </cell>
          <cell r="GR47">
            <v>2277</v>
          </cell>
          <cell r="GS47">
            <v>2355</v>
          </cell>
          <cell r="GT47">
            <v>2396</v>
          </cell>
          <cell r="GU47">
            <v>2270</v>
          </cell>
          <cell r="GV47">
            <v>2324</v>
          </cell>
          <cell r="GW47">
            <v>2441</v>
          </cell>
          <cell r="GX47">
            <v>2433</v>
          </cell>
          <cell r="GY47">
            <v>2323</v>
          </cell>
          <cell r="GZ47">
            <v>2087</v>
          </cell>
          <cell r="HA47">
            <v>2005</v>
          </cell>
          <cell r="HB47">
            <v>1816</v>
          </cell>
          <cell r="HC47">
            <v>1701</v>
          </cell>
          <cell r="HD47">
            <v>1607</v>
          </cell>
          <cell r="HE47">
            <v>1602</v>
          </cell>
          <cell r="HF47">
            <v>1666</v>
          </cell>
          <cell r="HG47">
            <v>1718</v>
          </cell>
          <cell r="HH47">
            <v>1856</v>
          </cell>
          <cell r="HI47">
            <v>2047</v>
          </cell>
          <cell r="HJ47">
            <v>2058</v>
          </cell>
          <cell r="HK47">
            <v>1974</v>
          </cell>
          <cell r="HL47">
            <v>1859</v>
          </cell>
          <cell r="HM47">
            <v>1802</v>
          </cell>
          <cell r="HN47">
            <v>1646</v>
          </cell>
          <cell r="HO47">
            <v>1469</v>
          </cell>
          <cell r="HP47">
            <v>1423</v>
          </cell>
          <cell r="HQ47">
            <v>1494</v>
          </cell>
          <cell r="HR47">
            <v>1515</v>
          </cell>
          <cell r="HS47">
            <v>1590</v>
          </cell>
          <cell r="HT47">
            <v>1717</v>
          </cell>
          <cell r="HU47">
            <v>1515</v>
          </cell>
          <cell r="HV47">
            <v>1916</v>
          </cell>
          <cell r="HW47">
            <v>1884</v>
          </cell>
          <cell r="HX47">
            <v>1883</v>
          </cell>
          <cell r="HY47">
            <v>1818</v>
          </cell>
          <cell r="HZ47">
            <v>1678</v>
          </cell>
          <cell r="IA47">
            <v>1533</v>
          </cell>
          <cell r="IB47">
            <v>1608</v>
          </cell>
          <cell r="IC47">
            <v>1706</v>
          </cell>
          <cell r="ID47">
            <v>1750</v>
          </cell>
          <cell r="IE47">
            <v>1788</v>
          </cell>
          <cell r="IF47">
            <v>1864</v>
          </cell>
          <cell r="IG47">
            <v>2155</v>
          </cell>
          <cell r="IH47">
            <v>2122</v>
          </cell>
        </row>
        <row r="48">
          <cell r="FC48">
            <v>1511</v>
          </cell>
          <cell r="FD48">
            <v>1591</v>
          </cell>
          <cell r="FE48">
            <v>1483</v>
          </cell>
          <cell r="FF48">
            <v>1422</v>
          </cell>
          <cell r="FG48">
            <v>1379</v>
          </cell>
          <cell r="FH48">
            <v>1324</v>
          </cell>
          <cell r="FI48">
            <v>1223</v>
          </cell>
          <cell r="FJ48">
            <v>1150</v>
          </cell>
          <cell r="FK48">
            <v>1116</v>
          </cell>
          <cell r="FL48">
            <v>1215</v>
          </cell>
          <cell r="FM48">
            <v>1311</v>
          </cell>
          <cell r="FN48">
            <v>1412</v>
          </cell>
          <cell r="FO48">
            <v>1372</v>
          </cell>
          <cell r="FP48">
            <v>1451</v>
          </cell>
          <cell r="FQ48">
            <v>1324</v>
          </cell>
          <cell r="FR48">
            <v>1308</v>
          </cell>
          <cell r="FS48">
            <v>1200</v>
          </cell>
          <cell r="FT48">
            <v>1149</v>
          </cell>
          <cell r="FU48">
            <v>1044</v>
          </cell>
          <cell r="FV48">
            <v>1007</v>
          </cell>
          <cell r="FW48">
            <v>1006</v>
          </cell>
          <cell r="FX48">
            <v>1077</v>
          </cell>
          <cell r="FY48">
            <v>1152</v>
          </cell>
          <cell r="FZ48">
            <v>1308</v>
          </cell>
          <cell r="GA48">
            <v>1364</v>
          </cell>
          <cell r="GB48">
            <v>1400</v>
          </cell>
          <cell r="GC48">
            <v>1264</v>
          </cell>
          <cell r="GD48">
            <v>1189</v>
          </cell>
          <cell r="GE48">
            <v>1121</v>
          </cell>
          <cell r="GF48">
            <v>1153</v>
          </cell>
          <cell r="GG48">
            <v>1110</v>
          </cell>
          <cell r="GH48">
            <v>1013</v>
          </cell>
          <cell r="GI48">
            <v>1019</v>
          </cell>
          <cell r="GJ48">
            <v>1070</v>
          </cell>
          <cell r="GK48">
            <v>1143</v>
          </cell>
          <cell r="GL48">
            <v>1301</v>
          </cell>
          <cell r="GM48">
            <v>1400</v>
          </cell>
          <cell r="GN48">
            <v>1434</v>
          </cell>
          <cell r="GO48">
            <v>1376</v>
          </cell>
          <cell r="GP48">
            <v>1472</v>
          </cell>
          <cell r="GQ48">
            <v>1404</v>
          </cell>
          <cell r="GR48">
            <v>1770</v>
          </cell>
          <cell r="GS48">
            <v>1765</v>
          </cell>
          <cell r="GT48">
            <v>1649</v>
          </cell>
          <cell r="GU48">
            <v>1520</v>
          </cell>
          <cell r="GV48">
            <v>1503</v>
          </cell>
          <cell r="GW48">
            <v>1595</v>
          </cell>
          <cell r="GX48">
            <v>1662</v>
          </cell>
          <cell r="GY48">
            <v>1681</v>
          </cell>
          <cell r="GZ48">
            <v>1764</v>
          </cell>
          <cell r="HA48">
            <v>1653</v>
          </cell>
          <cell r="HB48">
            <v>1602</v>
          </cell>
          <cell r="HC48">
            <v>1368</v>
          </cell>
          <cell r="HD48">
            <v>1309</v>
          </cell>
          <cell r="HE48">
            <v>1167</v>
          </cell>
          <cell r="HF48">
            <v>1075</v>
          </cell>
          <cell r="HG48">
            <v>1054</v>
          </cell>
          <cell r="HH48">
            <v>954</v>
          </cell>
          <cell r="HI48">
            <v>1059</v>
          </cell>
          <cell r="HJ48">
            <v>1167</v>
          </cell>
          <cell r="HK48">
            <v>1301</v>
          </cell>
          <cell r="HL48">
            <v>1374</v>
          </cell>
          <cell r="HM48">
            <v>1290</v>
          </cell>
          <cell r="HN48">
            <v>1189</v>
          </cell>
          <cell r="HO48">
            <v>1122</v>
          </cell>
          <cell r="HP48">
            <v>1097</v>
          </cell>
          <cell r="HQ48">
            <v>972</v>
          </cell>
          <cell r="HR48">
            <v>895</v>
          </cell>
          <cell r="HS48">
            <v>807</v>
          </cell>
          <cell r="HT48">
            <v>826</v>
          </cell>
          <cell r="HU48">
            <v>895</v>
          </cell>
          <cell r="HV48">
            <v>951</v>
          </cell>
          <cell r="HW48">
            <v>1083</v>
          </cell>
          <cell r="HX48">
            <v>1141</v>
          </cell>
          <cell r="HY48">
            <v>1120</v>
          </cell>
          <cell r="HZ48">
            <v>1063</v>
          </cell>
          <cell r="IA48">
            <v>1086</v>
          </cell>
          <cell r="IB48">
            <v>1071</v>
          </cell>
          <cell r="IC48">
            <v>1018</v>
          </cell>
          <cell r="ID48">
            <v>968</v>
          </cell>
          <cell r="IE48">
            <v>916</v>
          </cell>
          <cell r="IF48">
            <v>1009</v>
          </cell>
          <cell r="IG48">
            <v>1083</v>
          </cell>
          <cell r="IH48">
            <v>1151</v>
          </cell>
        </row>
        <row r="49">
          <cell r="FC49">
            <v>920</v>
          </cell>
          <cell r="FD49">
            <v>969</v>
          </cell>
          <cell r="FE49">
            <v>953</v>
          </cell>
          <cell r="FF49">
            <v>998</v>
          </cell>
          <cell r="FG49">
            <v>1021</v>
          </cell>
          <cell r="FH49">
            <v>962</v>
          </cell>
          <cell r="FI49">
            <v>964</v>
          </cell>
          <cell r="FJ49">
            <v>922</v>
          </cell>
          <cell r="FK49">
            <v>893</v>
          </cell>
          <cell r="FL49">
            <v>798</v>
          </cell>
          <cell r="FM49">
            <v>773</v>
          </cell>
          <cell r="FN49">
            <v>803</v>
          </cell>
          <cell r="FO49">
            <v>877</v>
          </cell>
          <cell r="FP49">
            <v>925</v>
          </cell>
          <cell r="FQ49">
            <v>947</v>
          </cell>
          <cell r="FR49">
            <v>918</v>
          </cell>
          <cell r="FS49">
            <v>981</v>
          </cell>
          <cell r="FT49">
            <v>847</v>
          </cell>
          <cell r="FU49">
            <v>854</v>
          </cell>
          <cell r="FV49">
            <v>738</v>
          </cell>
          <cell r="FW49">
            <v>738</v>
          </cell>
          <cell r="FX49">
            <v>691</v>
          </cell>
          <cell r="FY49">
            <v>655</v>
          </cell>
          <cell r="FZ49">
            <v>696</v>
          </cell>
          <cell r="GA49">
            <v>763</v>
          </cell>
          <cell r="GB49">
            <v>796</v>
          </cell>
          <cell r="GC49">
            <v>829</v>
          </cell>
          <cell r="GD49">
            <v>848</v>
          </cell>
          <cell r="GE49">
            <v>842</v>
          </cell>
          <cell r="GF49">
            <v>761</v>
          </cell>
          <cell r="GG49">
            <v>759</v>
          </cell>
          <cell r="GH49">
            <v>677</v>
          </cell>
          <cell r="GI49">
            <v>728</v>
          </cell>
          <cell r="GJ49">
            <v>697</v>
          </cell>
          <cell r="GK49">
            <v>695</v>
          </cell>
          <cell r="GL49">
            <v>735</v>
          </cell>
          <cell r="GM49">
            <v>718</v>
          </cell>
          <cell r="GN49">
            <v>782</v>
          </cell>
          <cell r="GO49">
            <v>894</v>
          </cell>
          <cell r="GP49">
            <v>1023</v>
          </cell>
          <cell r="GQ49">
            <v>1122</v>
          </cell>
          <cell r="GR49">
            <v>1071</v>
          </cell>
          <cell r="GS49">
            <v>1120</v>
          </cell>
          <cell r="GT49">
            <v>1041</v>
          </cell>
          <cell r="GU49">
            <v>1284</v>
          </cell>
          <cell r="GV49">
            <v>1165</v>
          </cell>
          <cell r="GW49">
            <v>1171</v>
          </cell>
          <cell r="GX49">
            <v>1139</v>
          </cell>
          <cell r="GY49">
            <v>1135</v>
          </cell>
          <cell r="GZ49">
            <v>1202</v>
          </cell>
          <cell r="HA49">
            <v>1226</v>
          </cell>
          <cell r="HB49">
            <v>1207</v>
          </cell>
          <cell r="HC49">
            <v>1277</v>
          </cell>
          <cell r="HD49">
            <v>1160</v>
          </cell>
          <cell r="HE49">
            <v>1058</v>
          </cell>
          <cell r="HF49">
            <v>894</v>
          </cell>
          <cell r="HG49">
            <v>840</v>
          </cell>
          <cell r="HH49">
            <v>768</v>
          </cell>
          <cell r="HI49">
            <v>701</v>
          </cell>
          <cell r="HJ49">
            <v>718</v>
          </cell>
          <cell r="HK49">
            <v>651</v>
          </cell>
          <cell r="HL49">
            <v>726</v>
          </cell>
          <cell r="HM49">
            <v>783</v>
          </cell>
          <cell r="HN49">
            <v>824</v>
          </cell>
          <cell r="HO49">
            <v>865</v>
          </cell>
          <cell r="HP49">
            <v>802</v>
          </cell>
          <cell r="HQ49">
            <v>790</v>
          </cell>
          <cell r="HR49">
            <v>729</v>
          </cell>
          <cell r="HS49">
            <v>670</v>
          </cell>
          <cell r="HT49">
            <v>572</v>
          </cell>
          <cell r="HU49">
            <v>729</v>
          </cell>
          <cell r="HV49">
            <v>515</v>
          </cell>
          <cell r="HW49">
            <v>523</v>
          </cell>
          <cell r="HX49">
            <v>552</v>
          </cell>
          <cell r="HY49">
            <v>606</v>
          </cell>
          <cell r="HZ49">
            <v>669</v>
          </cell>
          <cell r="IA49">
            <v>732</v>
          </cell>
          <cell r="IB49">
            <v>665</v>
          </cell>
          <cell r="IC49">
            <v>698</v>
          </cell>
          <cell r="ID49">
            <v>694</v>
          </cell>
          <cell r="IE49">
            <v>663</v>
          </cell>
          <cell r="IF49">
            <v>625</v>
          </cell>
          <cell r="IG49">
            <v>598</v>
          </cell>
          <cell r="IH49">
            <v>647</v>
          </cell>
        </row>
        <row r="50">
          <cell r="FC50">
            <v>751</v>
          </cell>
          <cell r="FD50">
            <v>749</v>
          </cell>
          <cell r="FE50">
            <v>749</v>
          </cell>
          <cell r="FF50">
            <v>729</v>
          </cell>
          <cell r="FG50">
            <v>738</v>
          </cell>
          <cell r="FH50">
            <v>725</v>
          </cell>
          <cell r="FI50">
            <v>764</v>
          </cell>
          <cell r="FJ50">
            <v>743</v>
          </cell>
          <cell r="FK50">
            <v>714</v>
          </cell>
          <cell r="FL50">
            <v>723</v>
          </cell>
          <cell r="FM50">
            <v>690</v>
          </cell>
          <cell r="FN50">
            <v>720</v>
          </cell>
          <cell r="FO50">
            <v>668</v>
          </cell>
          <cell r="FP50">
            <v>654</v>
          </cell>
          <cell r="FQ50">
            <v>646</v>
          </cell>
          <cell r="FR50">
            <v>678</v>
          </cell>
          <cell r="FS50">
            <v>687</v>
          </cell>
          <cell r="FT50">
            <v>707</v>
          </cell>
          <cell r="FU50">
            <v>686</v>
          </cell>
          <cell r="FV50">
            <v>728</v>
          </cell>
          <cell r="FW50">
            <v>629</v>
          </cell>
          <cell r="FX50">
            <v>622</v>
          </cell>
          <cell r="FY50">
            <v>575</v>
          </cell>
          <cell r="FZ50">
            <v>586</v>
          </cell>
          <cell r="GA50">
            <v>544</v>
          </cell>
          <cell r="GB50">
            <v>505</v>
          </cell>
          <cell r="GC50">
            <v>517</v>
          </cell>
          <cell r="GD50">
            <v>561</v>
          </cell>
          <cell r="GE50">
            <v>581</v>
          </cell>
          <cell r="GF50">
            <v>620</v>
          </cell>
          <cell r="GG50">
            <v>616</v>
          </cell>
          <cell r="GH50">
            <v>624</v>
          </cell>
          <cell r="GI50">
            <v>543</v>
          </cell>
          <cell r="GJ50">
            <v>528</v>
          </cell>
          <cell r="GK50">
            <v>503</v>
          </cell>
          <cell r="GL50">
            <v>558</v>
          </cell>
          <cell r="GM50">
            <v>552</v>
          </cell>
          <cell r="GN50">
            <v>545</v>
          </cell>
          <cell r="GO50">
            <v>560</v>
          </cell>
          <cell r="GP50">
            <v>570</v>
          </cell>
          <cell r="GQ50">
            <v>707</v>
          </cell>
          <cell r="GR50">
            <v>792</v>
          </cell>
          <cell r="GS50">
            <v>875</v>
          </cell>
          <cell r="GT50">
            <v>967</v>
          </cell>
          <cell r="GU50">
            <v>865</v>
          </cell>
          <cell r="GV50">
            <v>933</v>
          </cell>
          <cell r="GW50">
            <v>912</v>
          </cell>
          <cell r="GX50">
            <v>1048</v>
          </cell>
          <cell r="GY50">
            <v>1026</v>
          </cell>
          <cell r="GZ50">
            <v>1008</v>
          </cell>
          <cell r="HA50">
            <v>927</v>
          </cell>
          <cell r="HB50">
            <v>922</v>
          </cell>
          <cell r="HC50">
            <v>975</v>
          </cell>
          <cell r="HD50">
            <v>970</v>
          </cell>
          <cell r="HE50">
            <v>964</v>
          </cell>
          <cell r="HF50">
            <v>970</v>
          </cell>
          <cell r="HG50">
            <v>827</v>
          </cell>
          <cell r="HH50">
            <v>777</v>
          </cell>
          <cell r="HI50">
            <v>716</v>
          </cell>
          <cell r="HJ50">
            <v>661</v>
          </cell>
          <cell r="HK50">
            <v>638</v>
          </cell>
          <cell r="HL50">
            <v>575</v>
          </cell>
          <cell r="HM50">
            <v>509</v>
          </cell>
          <cell r="HN50">
            <v>483</v>
          </cell>
          <cell r="HO50">
            <v>532</v>
          </cell>
          <cell r="HP50">
            <v>543</v>
          </cell>
          <cell r="HQ50">
            <v>610</v>
          </cell>
          <cell r="HR50">
            <v>617</v>
          </cell>
          <cell r="HS50">
            <v>566</v>
          </cell>
          <cell r="HT50">
            <v>550</v>
          </cell>
          <cell r="HU50">
            <v>617</v>
          </cell>
          <cell r="HV50">
            <v>488</v>
          </cell>
          <cell r="HW50">
            <v>429</v>
          </cell>
          <cell r="HX50">
            <v>400</v>
          </cell>
          <cell r="HY50">
            <v>374</v>
          </cell>
          <cell r="HZ50">
            <v>401</v>
          </cell>
          <cell r="IA50">
            <v>404</v>
          </cell>
          <cell r="IB50">
            <v>449</v>
          </cell>
          <cell r="IC50">
            <v>495</v>
          </cell>
          <cell r="ID50">
            <v>507</v>
          </cell>
          <cell r="IE50">
            <v>508</v>
          </cell>
          <cell r="IF50">
            <v>521</v>
          </cell>
          <cell r="IG50">
            <v>501</v>
          </cell>
          <cell r="IH50">
            <v>522</v>
          </cell>
        </row>
        <row r="51">
          <cell r="FC51">
            <v>1821</v>
          </cell>
          <cell r="FD51">
            <v>1844</v>
          </cell>
          <cell r="FE51">
            <v>1811</v>
          </cell>
          <cell r="FF51">
            <v>1838</v>
          </cell>
          <cell r="FG51">
            <v>1862</v>
          </cell>
          <cell r="FH51">
            <v>1869</v>
          </cell>
          <cell r="FI51">
            <v>1815</v>
          </cell>
          <cell r="FJ51">
            <v>1822</v>
          </cell>
          <cell r="FK51">
            <v>1791</v>
          </cell>
          <cell r="FL51">
            <v>1807</v>
          </cell>
          <cell r="FM51">
            <v>1836</v>
          </cell>
          <cell r="FN51">
            <v>1806</v>
          </cell>
          <cell r="FO51">
            <v>1785</v>
          </cell>
          <cell r="FP51">
            <v>1762</v>
          </cell>
          <cell r="FQ51">
            <v>1799</v>
          </cell>
          <cell r="FR51">
            <v>1762</v>
          </cell>
          <cell r="FS51">
            <v>1706</v>
          </cell>
          <cell r="FT51">
            <v>1556</v>
          </cell>
          <cell r="FU51">
            <v>1530</v>
          </cell>
          <cell r="FV51">
            <v>1462</v>
          </cell>
          <cell r="FW51">
            <v>1468</v>
          </cell>
          <cell r="FX51">
            <v>1421</v>
          </cell>
          <cell r="FY51">
            <v>1435</v>
          </cell>
          <cell r="FZ51">
            <v>1440</v>
          </cell>
          <cell r="GA51">
            <v>1423</v>
          </cell>
          <cell r="GB51">
            <v>1396</v>
          </cell>
          <cell r="GC51">
            <v>1366</v>
          </cell>
          <cell r="GD51">
            <v>1306</v>
          </cell>
          <cell r="GE51">
            <v>1272</v>
          </cell>
          <cell r="GF51">
            <v>1274</v>
          </cell>
          <cell r="GG51">
            <v>1272</v>
          </cell>
          <cell r="GH51">
            <v>1221</v>
          </cell>
          <cell r="GI51">
            <v>1223</v>
          </cell>
          <cell r="GJ51">
            <v>1225</v>
          </cell>
          <cell r="GK51">
            <v>1250</v>
          </cell>
          <cell r="GL51">
            <v>1242</v>
          </cell>
          <cell r="GM51">
            <v>1228</v>
          </cell>
          <cell r="GN51">
            <v>1247</v>
          </cell>
          <cell r="GO51">
            <v>1300</v>
          </cell>
          <cell r="GP51">
            <v>1372</v>
          </cell>
          <cell r="GQ51">
            <v>1468</v>
          </cell>
          <cell r="GR51">
            <v>1575</v>
          </cell>
          <cell r="GS51">
            <v>1672</v>
          </cell>
          <cell r="GT51">
            <v>1770</v>
          </cell>
          <cell r="GU51">
            <v>1902</v>
          </cell>
          <cell r="GV51">
            <v>2022</v>
          </cell>
          <cell r="GW51">
            <v>2143</v>
          </cell>
          <cell r="GX51">
            <v>2277</v>
          </cell>
          <cell r="GY51">
            <v>2409</v>
          </cell>
          <cell r="GZ51">
            <v>2465</v>
          </cell>
          <cell r="HA51">
            <v>2633</v>
          </cell>
          <cell r="HB51">
            <v>2725</v>
          </cell>
          <cell r="HC51">
            <v>2798</v>
          </cell>
          <cell r="HD51">
            <v>2852</v>
          </cell>
          <cell r="HE51">
            <v>2891</v>
          </cell>
          <cell r="HF51">
            <v>2842</v>
          </cell>
          <cell r="HG51">
            <v>2831</v>
          </cell>
          <cell r="HH51">
            <v>2778</v>
          </cell>
          <cell r="HI51">
            <v>2770</v>
          </cell>
          <cell r="HJ51">
            <v>2734</v>
          </cell>
          <cell r="HK51">
            <v>2644</v>
          </cell>
          <cell r="HL51">
            <v>2585</v>
          </cell>
          <cell r="HM51">
            <v>2514</v>
          </cell>
          <cell r="HN51">
            <v>2395</v>
          </cell>
          <cell r="HO51">
            <v>2273</v>
          </cell>
          <cell r="HP51">
            <v>2150</v>
          </cell>
          <cell r="HQ51">
            <v>1977</v>
          </cell>
          <cell r="HR51">
            <v>1901</v>
          </cell>
          <cell r="HS51">
            <v>1789</v>
          </cell>
          <cell r="HT51">
            <v>1728</v>
          </cell>
          <cell r="HU51">
            <v>1901</v>
          </cell>
          <cell r="HV51">
            <v>1596</v>
          </cell>
          <cell r="HW51">
            <v>1523</v>
          </cell>
          <cell r="HX51">
            <v>1471</v>
          </cell>
          <cell r="HY51">
            <v>1397</v>
          </cell>
          <cell r="HZ51">
            <v>1299</v>
          </cell>
          <cell r="IA51">
            <v>1246</v>
          </cell>
          <cell r="IB51">
            <v>1127</v>
          </cell>
          <cell r="IC51">
            <v>1091</v>
          </cell>
          <cell r="ID51">
            <v>1079</v>
          </cell>
          <cell r="IE51">
            <v>1061</v>
          </cell>
          <cell r="IF51">
            <v>1071</v>
          </cell>
          <cell r="IG51">
            <v>1071</v>
          </cell>
          <cell r="IH51">
            <v>1089</v>
          </cell>
        </row>
        <row r="54">
          <cell r="FC54">
            <v>142</v>
          </cell>
          <cell r="FD54">
            <v>127</v>
          </cell>
          <cell r="FE54">
            <v>157</v>
          </cell>
          <cell r="FF54">
            <v>132</v>
          </cell>
          <cell r="FG54">
            <v>132</v>
          </cell>
          <cell r="FH54">
            <v>133</v>
          </cell>
          <cell r="FI54">
            <v>142</v>
          </cell>
          <cell r="FJ54">
            <v>134</v>
          </cell>
          <cell r="FK54">
            <v>151</v>
          </cell>
          <cell r="FL54">
            <v>145</v>
          </cell>
          <cell r="FM54">
            <v>135</v>
          </cell>
          <cell r="FN54">
            <v>89</v>
          </cell>
          <cell r="FO54">
            <v>181</v>
          </cell>
          <cell r="FP54">
            <v>167</v>
          </cell>
          <cell r="FQ54">
            <v>169</v>
          </cell>
          <cell r="FR54">
            <v>200</v>
          </cell>
          <cell r="FS54">
            <v>194</v>
          </cell>
          <cell r="FT54">
            <v>298</v>
          </cell>
          <cell r="FU54">
            <v>800</v>
          </cell>
          <cell r="FV54">
            <v>776</v>
          </cell>
          <cell r="FW54">
            <v>604</v>
          </cell>
          <cell r="FX54">
            <v>540</v>
          </cell>
          <cell r="FY54">
            <v>686</v>
          </cell>
          <cell r="FZ54">
            <v>413</v>
          </cell>
          <cell r="GA54">
            <v>739</v>
          </cell>
          <cell r="GB54">
            <v>589</v>
          </cell>
          <cell r="GC54">
            <v>745</v>
          </cell>
          <cell r="GD54">
            <v>662</v>
          </cell>
          <cell r="GE54">
            <v>760</v>
          </cell>
          <cell r="GF54">
            <v>838</v>
          </cell>
          <cell r="GG54">
            <v>798</v>
          </cell>
          <cell r="GH54">
            <v>710</v>
          </cell>
          <cell r="GI54">
            <v>779</v>
          </cell>
          <cell r="GJ54">
            <v>724</v>
          </cell>
          <cell r="GK54">
            <v>735</v>
          </cell>
          <cell r="GL54">
            <v>593</v>
          </cell>
          <cell r="GM54">
            <v>1092</v>
          </cell>
          <cell r="GN54">
            <v>644</v>
          </cell>
          <cell r="GO54">
            <v>1023</v>
          </cell>
          <cell r="GP54">
            <v>573</v>
          </cell>
          <cell r="GQ54">
            <v>568</v>
          </cell>
          <cell r="GR54">
            <v>942</v>
          </cell>
          <cell r="GS54">
            <v>944</v>
          </cell>
          <cell r="GT54">
            <v>814</v>
          </cell>
          <cell r="GU54">
            <v>1047</v>
          </cell>
          <cell r="GV54">
            <v>1425</v>
          </cell>
          <cell r="GW54">
            <v>995</v>
          </cell>
          <cell r="GX54">
            <v>734</v>
          </cell>
          <cell r="GY54">
            <v>1211</v>
          </cell>
          <cell r="GZ54">
            <v>1017</v>
          </cell>
          <cell r="HA54">
            <v>1323</v>
          </cell>
          <cell r="HB54">
            <v>1111</v>
          </cell>
          <cell r="HC54">
            <v>1435</v>
          </cell>
          <cell r="HD54">
            <v>1681</v>
          </cell>
          <cell r="HE54">
            <v>1502</v>
          </cell>
          <cell r="HF54">
            <v>1451</v>
          </cell>
          <cell r="HG54">
            <v>1265</v>
          </cell>
          <cell r="HH54">
            <v>1304</v>
          </cell>
          <cell r="HI54">
            <v>1332</v>
          </cell>
          <cell r="HJ54">
            <v>858</v>
          </cell>
          <cell r="HK54">
            <v>1488</v>
          </cell>
          <cell r="HL54">
            <v>1388</v>
          </cell>
          <cell r="HM54">
            <v>1706</v>
          </cell>
          <cell r="HN54">
            <v>1464</v>
          </cell>
          <cell r="HO54">
            <v>1998</v>
          </cell>
          <cell r="HP54">
            <v>1518</v>
          </cell>
          <cell r="HQ54">
            <v>1795</v>
          </cell>
          <cell r="HR54">
            <v>1777</v>
          </cell>
          <cell r="HS54">
            <v>1833</v>
          </cell>
          <cell r="HT54">
            <v>1856</v>
          </cell>
          <cell r="HU54">
            <v>1478</v>
          </cell>
          <cell r="HV54">
            <v>1278</v>
          </cell>
          <cell r="HW54">
            <v>1414</v>
          </cell>
          <cell r="HX54">
            <v>1568</v>
          </cell>
          <cell r="HY54">
            <v>2176</v>
          </cell>
          <cell r="HZ54">
            <v>1214</v>
          </cell>
          <cell r="IA54">
            <v>1882</v>
          </cell>
          <cell r="IB54">
            <v>1973</v>
          </cell>
          <cell r="IC54">
            <v>1542</v>
          </cell>
          <cell r="ID54">
            <v>1647</v>
          </cell>
          <cell r="IE54">
            <v>1731</v>
          </cell>
          <cell r="IF54">
            <v>1642</v>
          </cell>
          <cell r="IG54">
            <v>1257</v>
          </cell>
          <cell r="IH54">
            <v>1027</v>
          </cell>
        </row>
        <row r="55">
          <cell r="FC55">
            <v>108</v>
          </cell>
          <cell r="FD55">
            <v>116</v>
          </cell>
          <cell r="FE55">
            <v>137</v>
          </cell>
          <cell r="FF55">
            <v>133</v>
          </cell>
          <cell r="FG55">
            <v>145</v>
          </cell>
          <cell r="FH55">
            <v>147</v>
          </cell>
          <cell r="FI55">
            <v>108</v>
          </cell>
          <cell r="FJ55">
            <v>151</v>
          </cell>
          <cell r="FK55">
            <v>112</v>
          </cell>
          <cell r="FL55">
            <v>176</v>
          </cell>
          <cell r="FM55">
            <v>131</v>
          </cell>
          <cell r="FN55">
            <v>101</v>
          </cell>
          <cell r="FO55">
            <v>132</v>
          </cell>
          <cell r="FP55">
            <v>139</v>
          </cell>
          <cell r="FQ55">
            <v>166</v>
          </cell>
          <cell r="FR55">
            <v>171</v>
          </cell>
          <cell r="FS55">
            <v>176</v>
          </cell>
          <cell r="FT55">
            <v>197</v>
          </cell>
          <cell r="FU55">
            <v>402</v>
          </cell>
          <cell r="FV55">
            <v>757</v>
          </cell>
          <cell r="FW55">
            <v>701</v>
          </cell>
          <cell r="FX55">
            <v>711</v>
          </cell>
          <cell r="FY55">
            <v>492</v>
          </cell>
          <cell r="FZ55">
            <v>581</v>
          </cell>
          <cell r="GA55">
            <v>554</v>
          </cell>
          <cell r="GB55">
            <v>610</v>
          </cell>
          <cell r="GC55">
            <v>625</v>
          </cell>
          <cell r="GD55">
            <v>781</v>
          </cell>
          <cell r="GE55">
            <v>688</v>
          </cell>
          <cell r="GF55">
            <v>677</v>
          </cell>
          <cell r="GG55">
            <v>871</v>
          </cell>
          <cell r="GH55">
            <v>844</v>
          </cell>
          <cell r="GI55">
            <v>757</v>
          </cell>
          <cell r="GJ55">
            <v>812</v>
          </cell>
          <cell r="GK55">
            <v>615</v>
          </cell>
          <cell r="GL55">
            <v>697</v>
          </cell>
          <cell r="GM55">
            <v>771</v>
          </cell>
          <cell r="GN55">
            <v>915</v>
          </cell>
          <cell r="GO55">
            <v>949</v>
          </cell>
          <cell r="GP55">
            <v>863</v>
          </cell>
          <cell r="GQ55">
            <v>535</v>
          </cell>
          <cell r="GR55">
            <v>655</v>
          </cell>
          <cell r="GS55">
            <v>964</v>
          </cell>
          <cell r="GT55">
            <v>810</v>
          </cell>
          <cell r="GU55">
            <v>954</v>
          </cell>
          <cell r="GV55">
            <v>1081</v>
          </cell>
          <cell r="GW55">
            <v>1099</v>
          </cell>
          <cell r="GX55">
            <v>997</v>
          </cell>
          <cell r="GY55">
            <v>993</v>
          </cell>
          <cell r="GZ55">
            <v>1012</v>
          </cell>
          <cell r="HA55">
            <v>1158</v>
          </cell>
          <cell r="HB55">
            <v>1184</v>
          </cell>
          <cell r="HC55">
            <v>1139</v>
          </cell>
          <cell r="HD55">
            <v>1547</v>
          </cell>
          <cell r="HE55">
            <v>1601</v>
          </cell>
          <cell r="HF55">
            <v>1391</v>
          </cell>
          <cell r="HG55">
            <v>1499</v>
          </cell>
          <cell r="HH55">
            <v>1484</v>
          </cell>
          <cell r="HI55">
            <v>1177</v>
          </cell>
          <cell r="HJ55">
            <v>1134</v>
          </cell>
          <cell r="HK55">
            <v>1179</v>
          </cell>
          <cell r="HL55">
            <v>1153</v>
          </cell>
          <cell r="HM55">
            <v>1313</v>
          </cell>
          <cell r="HN55">
            <v>1644</v>
          </cell>
          <cell r="HO55">
            <v>1829</v>
          </cell>
          <cell r="HP55">
            <v>1545</v>
          </cell>
          <cell r="HQ55">
            <v>1689</v>
          </cell>
          <cell r="HR55">
            <v>1649</v>
          </cell>
          <cell r="HS55">
            <v>1735</v>
          </cell>
          <cell r="HT55">
            <v>1888</v>
          </cell>
          <cell r="HU55">
            <v>1922</v>
          </cell>
          <cell r="HV55">
            <v>1352</v>
          </cell>
          <cell r="HW55">
            <v>1672</v>
          </cell>
          <cell r="HX55">
            <v>1160</v>
          </cell>
          <cell r="HY55">
            <v>1699</v>
          </cell>
          <cell r="HZ55">
            <v>1845</v>
          </cell>
          <cell r="IA55">
            <v>1528</v>
          </cell>
          <cell r="IB55">
            <v>1836</v>
          </cell>
          <cell r="IC55">
            <v>1937</v>
          </cell>
          <cell r="ID55">
            <v>1784</v>
          </cell>
          <cell r="IE55">
            <v>1436</v>
          </cell>
          <cell r="IF55">
            <v>1773</v>
          </cell>
          <cell r="IG55">
            <v>1651</v>
          </cell>
          <cell r="IH55">
            <v>1091</v>
          </cell>
        </row>
        <row r="58">
          <cell r="EC58">
            <v>6694</v>
          </cell>
          <cell r="ED58">
            <v>3934</v>
          </cell>
          <cell r="EE58">
            <v>9252</v>
          </cell>
          <cell r="EF58">
            <v>7793</v>
          </cell>
          <cell r="EG58">
            <v>22532</v>
          </cell>
          <cell r="EH58">
            <v>16005</v>
          </cell>
          <cell r="EI58">
            <v>9744</v>
          </cell>
          <cell r="EJ58">
            <v>9685</v>
          </cell>
          <cell r="EK58">
            <v>4443</v>
          </cell>
          <cell r="EL58">
            <v>4863</v>
          </cell>
          <cell r="EM58">
            <v>14670</v>
          </cell>
          <cell r="EN58">
            <v>21553</v>
          </cell>
          <cell r="EO58">
            <v>16996</v>
          </cell>
          <cell r="EP58">
            <v>21611</v>
          </cell>
          <cell r="EQ58">
            <v>29333</v>
          </cell>
          <cell r="ER58">
            <v>27105</v>
          </cell>
          <cell r="ES58">
            <v>24967</v>
          </cell>
          <cell r="ET58">
            <v>23719</v>
          </cell>
          <cell r="EU58">
            <v>23023</v>
          </cell>
          <cell r="EV58">
            <v>26208</v>
          </cell>
          <cell r="EW58">
            <v>13236</v>
          </cell>
          <cell r="EX58">
            <v>12427</v>
          </cell>
          <cell r="EY58">
            <v>17337</v>
          </cell>
          <cell r="EZ58">
            <v>18287</v>
          </cell>
          <cell r="FA58">
            <v>21131</v>
          </cell>
          <cell r="FB58">
            <v>14070</v>
          </cell>
          <cell r="FC58">
            <v>10363</v>
          </cell>
          <cell r="FD58">
            <v>10588</v>
          </cell>
          <cell r="FE58">
            <v>9260</v>
          </cell>
          <cell r="FF58">
            <v>11487</v>
          </cell>
          <cell r="FG58">
            <v>8944</v>
          </cell>
          <cell r="FH58">
            <v>8970</v>
          </cell>
          <cell r="FI58">
            <v>4375</v>
          </cell>
          <cell r="FJ58">
            <v>780</v>
          </cell>
          <cell r="FK58">
            <v>3551</v>
          </cell>
          <cell r="FL58">
            <v>4584</v>
          </cell>
          <cell r="FM58">
            <v>4582</v>
          </cell>
          <cell r="FN58">
            <v>1394</v>
          </cell>
          <cell r="FO58">
            <v>3895</v>
          </cell>
          <cell r="FP58">
            <v>2540</v>
          </cell>
          <cell r="FQ58">
            <v>4855</v>
          </cell>
          <cell r="FR58">
            <v>3709</v>
          </cell>
          <cell r="FS58">
            <v>2460</v>
          </cell>
          <cell r="FT58">
            <v>946</v>
          </cell>
          <cell r="FU58">
            <v>1060</v>
          </cell>
          <cell r="FV58">
            <v>97</v>
          </cell>
          <cell r="FW58">
            <v>252</v>
          </cell>
          <cell r="FX58">
            <v>8520</v>
          </cell>
          <cell r="FY58">
            <v>10384</v>
          </cell>
          <cell r="FZ58">
            <v>10162</v>
          </cell>
          <cell r="GA58">
            <v>3991</v>
          </cell>
          <cell r="GB58">
            <v>3825</v>
          </cell>
          <cell r="GC58">
            <v>4756</v>
          </cell>
          <cell r="GD58">
            <v>478</v>
          </cell>
          <cell r="GE58">
            <v>4673</v>
          </cell>
          <cell r="GF58">
            <v>5570</v>
          </cell>
          <cell r="GG58">
            <v>5124</v>
          </cell>
          <cell r="GH58">
            <v>1425</v>
          </cell>
          <cell r="GI58">
            <v>6968</v>
          </cell>
          <cell r="GJ58">
            <v>15878</v>
          </cell>
          <cell r="GK58">
            <v>15741</v>
          </cell>
          <cell r="GL58">
            <v>10487</v>
          </cell>
          <cell r="GM58">
            <v>16483</v>
          </cell>
          <cell r="GN58">
            <v>12474</v>
          </cell>
          <cell r="GO58">
            <v>935377</v>
          </cell>
          <cell r="GP58">
            <v>2524785</v>
          </cell>
          <cell r="GQ58">
            <v>1737785</v>
          </cell>
          <cell r="GR58">
            <v>950586</v>
          </cell>
          <cell r="GS58">
            <v>784655</v>
          </cell>
          <cell r="GT58">
            <v>575081</v>
          </cell>
          <cell r="GU58">
            <v>460336</v>
          </cell>
          <cell r="GV58">
            <v>449404</v>
          </cell>
          <cell r="GW58">
            <v>542738</v>
          </cell>
          <cell r="GX58">
            <v>673263</v>
          </cell>
          <cell r="GY58">
            <v>913217</v>
          </cell>
          <cell r="HK58">
            <v>134489</v>
          </cell>
          <cell r="HL58">
            <v>101319</v>
          </cell>
          <cell r="HM58">
            <v>58474</v>
          </cell>
          <cell r="HN58">
            <v>24890</v>
          </cell>
          <cell r="HO58">
            <v>25965</v>
          </cell>
          <cell r="HP58">
            <v>29179</v>
          </cell>
          <cell r="HQ58">
            <v>19588</v>
          </cell>
          <cell r="HR58">
            <v>14151</v>
          </cell>
          <cell r="HS58">
            <v>11987</v>
          </cell>
          <cell r="HT58">
            <v>13341.95</v>
          </cell>
          <cell r="HU58">
            <v>11761.54</v>
          </cell>
          <cell r="HV58">
            <v>26277.47</v>
          </cell>
          <cell r="HW58">
            <v>32244</v>
          </cell>
          <cell r="HX58">
            <v>34702</v>
          </cell>
          <cell r="HY58">
            <v>22509</v>
          </cell>
          <cell r="HZ58">
            <v>11252</v>
          </cell>
          <cell r="IA58">
            <v>8348</v>
          </cell>
          <cell r="IB58">
            <v>7964</v>
          </cell>
          <cell r="IC58">
            <v>8140</v>
          </cell>
          <cell r="ID58">
            <v>18861</v>
          </cell>
          <cell r="IE58">
            <v>19148</v>
          </cell>
          <cell r="IF58">
            <v>13178</v>
          </cell>
          <cell r="IG58">
            <v>21153</v>
          </cell>
          <cell r="IH58">
            <v>15683</v>
          </cell>
        </row>
        <row r="59">
          <cell r="EC59">
            <v>11</v>
          </cell>
          <cell r="ED59">
            <v>8</v>
          </cell>
          <cell r="EE59">
            <v>15</v>
          </cell>
          <cell r="EF59">
            <v>17</v>
          </cell>
          <cell r="EG59">
            <v>29</v>
          </cell>
          <cell r="EH59">
            <v>26</v>
          </cell>
          <cell r="EI59">
            <v>22</v>
          </cell>
          <cell r="EJ59">
            <v>18</v>
          </cell>
          <cell r="EK59">
            <v>14</v>
          </cell>
          <cell r="EL59">
            <v>16</v>
          </cell>
          <cell r="EM59">
            <v>21</v>
          </cell>
          <cell r="EN59">
            <v>25</v>
          </cell>
          <cell r="EO59">
            <v>28</v>
          </cell>
          <cell r="EP59">
            <v>23</v>
          </cell>
          <cell r="EQ59">
            <v>30</v>
          </cell>
          <cell r="ER59">
            <v>38</v>
          </cell>
          <cell r="ES59">
            <v>38</v>
          </cell>
          <cell r="ET59">
            <v>41</v>
          </cell>
          <cell r="EU59">
            <v>38</v>
          </cell>
          <cell r="EV59">
            <v>37</v>
          </cell>
          <cell r="EW59">
            <v>32</v>
          </cell>
          <cell r="EX59">
            <v>27</v>
          </cell>
          <cell r="EY59">
            <v>30</v>
          </cell>
          <cell r="EZ59">
            <v>34</v>
          </cell>
          <cell r="FA59">
            <v>37</v>
          </cell>
          <cell r="FB59">
            <v>29</v>
          </cell>
          <cell r="FC59">
            <v>21</v>
          </cell>
          <cell r="FD59">
            <v>23</v>
          </cell>
          <cell r="FE59">
            <v>16</v>
          </cell>
          <cell r="FF59">
            <v>21</v>
          </cell>
          <cell r="FG59">
            <v>18</v>
          </cell>
          <cell r="FH59">
            <v>18</v>
          </cell>
          <cell r="FI59">
            <v>12</v>
          </cell>
          <cell r="FJ59">
            <v>4</v>
          </cell>
          <cell r="FK59">
            <v>7</v>
          </cell>
          <cell r="FL59">
            <v>9</v>
          </cell>
          <cell r="FM59">
            <v>10</v>
          </cell>
          <cell r="FN59">
            <v>6</v>
          </cell>
          <cell r="FO59">
            <v>7</v>
          </cell>
          <cell r="FP59">
            <v>6</v>
          </cell>
          <cell r="FQ59">
            <v>7</v>
          </cell>
          <cell r="FR59">
            <v>6</v>
          </cell>
          <cell r="FS59">
            <v>3</v>
          </cell>
          <cell r="FT59">
            <v>2</v>
          </cell>
          <cell r="FU59">
            <v>2</v>
          </cell>
          <cell r="FV59">
            <v>1</v>
          </cell>
          <cell r="FW59">
            <v>2</v>
          </cell>
          <cell r="FX59">
            <v>2</v>
          </cell>
          <cell r="FY59">
            <v>2</v>
          </cell>
          <cell r="FZ59">
            <v>2</v>
          </cell>
          <cell r="GA59">
            <v>1</v>
          </cell>
          <cell r="GB59">
            <v>2</v>
          </cell>
          <cell r="GC59">
            <v>2</v>
          </cell>
          <cell r="GD59">
            <v>2</v>
          </cell>
          <cell r="GE59">
            <v>2</v>
          </cell>
          <cell r="GF59">
            <v>4</v>
          </cell>
          <cell r="GG59">
            <v>3</v>
          </cell>
          <cell r="GH59">
            <v>3</v>
          </cell>
          <cell r="GI59">
            <v>6</v>
          </cell>
          <cell r="GJ59">
            <v>7</v>
          </cell>
          <cell r="GK59">
            <v>12</v>
          </cell>
          <cell r="GL59">
            <v>7</v>
          </cell>
          <cell r="GM59">
            <v>11</v>
          </cell>
          <cell r="GN59">
            <v>12</v>
          </cell>
          <cell r="GO59">
            <v>2619</v>
          </cell>
          <cell r="GP59">
            <v>3684</v>
          </cell>
          <cell r="GQ59">
            <v>3143</v>
          </cell>
          <cell r="GR59">
            <v>1583</v>
          </cell>
          <cell r="GS59">
            <v>1165</v>
          </cell>
          <cell r="GT59">
            <v>1057</v>
          </cell>
          <cell r="GU59">
            <v>676</v>
          </cell>
          <cell r="GV59">
            <v>716</v>
          </cell>
          <cell r="GW59">
            <v>1003</v>
          </cell>
          <cell r="GX59">
            <v>1253</v>
          </cell>
          <cell r="GY59">
            <v>1561</v>
          </cell>
          <cell r="HK59">
            <v>301</v>
          </cell>
          <cell r="HL59">
            <v>287</v>
          </cell>
          <cell r="HM59">
            <v>184</v>
          </cell>
          <cell r="HN59">
            <v>65</v>
          </cell>
          <cell r="HO59">
            <v>39</v>
          </cell>
          <cell r="HP59">
            <v>36</v>
          </cell>
          <cell r="HQ59">
            <v>20</v>
          </cell>
          <cell r="HR59">
            <v>11</v>
          </cell>
          <cell r="HS59">
            <v>13</v>
          </cell>
          <cell r="HT59">
            <v>14</v>
          </cell>
          <cell r="HU59">
            <v>14</v>
          </cell>
          <cell r="HV59">
            <v>15</v>
          </cell>
          <cell r="HW59">
            <v>22</v>
          </cell>
          <cell r="HX59">
            <v>24</v>
          </cell>
          <cell r="HY59">
            <v>20</v>
          </cell>
          <cell r="HZ59">
            <v>10</v>
          </cell>
          <cell r="IA59">
            <v>11</v>
          </cell>
          <cell r="IB59">
            <v>9</v>
          </cell>
          <cell r="IC59">
            <v>5</v>
          </cell>
          <cell r="ID59">
            <v>10</v>
          </cell>
          <cell r="IE59">
            <v>14</v>
          </cell>
          <cell r="IF59">
            <v>12</v>
          </cell>
          <cell r="IG59">
            <v>15</v>
          </cell>
          <cell r="IH59">
            <v>17</v>
          </cell>
        </row>
        <row r="60">
          <cell r="EC60">
            <v>182</v>
          </cell>
          <cell r="ED60">
            <v>76</v>
          </cell>
          <cell r="EE60">
            <v>166</v>
          </cell>
          <cell r="EF60">
            <v>130</v>
          </cell>
          <cell r="EG60">
            <v>427</v>
          </cell>
          <cell r="EH60">
            <v>515</v>
          </cell>
          <cell r="EI60">
            <v>189</v>
          </cell>
          <cell r="EJ60">
            <v>144</v>
          </cell>
          <cell r="EK60">
            <v>98</v>
          </cell>
          <cell r="EL60">
            <v>86</v>
          </cell>
          <cell r="EM60">
            <v>217</v>
          </cell>
          <cell r="EN60">
            <v>421</v>
          </cell>
          <cell r="EO60">
            <v>343</v>
          </cell>
          <cell r="EP60">
            <v>427</v>
          </cell>
          <cell r="EQ60">
            <v>595</v>
          </cell>
          <cell r="ER60">
            <v>534</v>
          </cell>
          <cell r="ES60">
            <v>496</v>
          </cell>
          <cell r="ET60">
            <v>460</v>
          </cell>
          <cell r="EU60">
            <v>555</v>
          </cell>
          <cell r="EV60">
            <v>542</v>
          </cell>
          <cell r="EW60">
            <v>387</v>
          </cell>
          <cell r="EX60">
            <v>320</v>
          </cell>
          <cell r="EY60">
            <v>548</v>
          </cell>
          <cell r="EZ60">
            <v>370</v>
          </cell>
          <cell r="FA60">
            <v>424</v>
          </cell>
          <cell r="FB60">
            <v>303</v>
          </cell>
          <cell r="FC60">
            <v>179</v>
          </cell>
          <cell r="FD60">
            <v>243</v>
          </cell>
          <cell r="FE60">
            <v>169</v>
          </cell>
          <cell r="FF60">
            <v>261</v>
          </cell>
          <cell r="FG60">
            <v>188</v>
          </cell>
          <cell r="FH60">
            <v>188</v>
          </cell>
          <cell r="FI60">
            <v>120</v>
          </cell>
          <cell r="FJ60">
            <v>15</v>
          </cell>
          <cell r="FK60">
            <v>68</v>
          </cell>
          <cell r="FL60">
            <v>71</v>
          </cell>
          <cell r="FM60">
            <v>88</v>
          </cell>
          <cell r="FN60">
            <v>28</v>
          </cell>
          <cell r="FO60">
            <v>87</v>
          </cell>
          <cell r="FP60">
            <v>54</v>
          </cell>
          <cell r="FQ60">
            <v>97</v>
          </cell>
          <cell r="FR60">
            <v>61</v>
          </cell>
          <cell r="FS60">
            <v>36</v>
          </cell>
          <cell r="FT60">
            <v>10</v>
          </cell>
          <cell r="FU60">
            <v>10</v>
          </cell>
          <cell r="FV60">
            <v>3</v>
          </cell>
          <cell r="FW60">
            <v>5</v>
          </cell>
          <cell r="FX60">
            <v>155</v>
          </cell>
          <cell r="FY60">
            <v>154</v>
          </cell>
          <cell r="FZ60">
            <v>205</v>
          </cell>
          <cell r="GA60">
            <v>152</v>
          </cell>
          <cell r="GB60">
            <v>152</v>
          </cell>
          <cell r="GC60">
            <v>143</v>
          </cell>
          <cell r="GD60">
            <v>12</v>
          </cell>
          <cell r="GE60">
            <v>146</v>
          </cell>
          <cell r="GF60">
            <v>161</v>
          </cell>
          <cell r="GG60">
            <v>147</v>
          </cell>
          <cell r="GH60">
            <v>28</v>
          </cell>
          <cell r="GI60">
            <v>205</v>
          </cell>
          <cell r="GJ60">
            <v>298</v>
          </cell>
          <cell r="GK60">
            <v>384</v>
          </cell>
          <cell r="GL60">
            <v>201</v>
          </cell>
          <cell r="GM60">
            <v>291</v>
          </cell>
          <cell r="GN60">
            <v>263</v>
          </cell>
          <cell r="GO60">
            <v>23771</v>
          </cell>
          <cell r="GP60">
            <v>33416</v>
          </cell>
          <cell r="GQ60">
            <v>28170</v>
          </cell>
          <cell r="GR60">
            <v>16054</v>
          </cell>
          <cell r="GS60">
            <v>13625</v>
          </cell>
          <cell r="GT60">
            <v>10678</v>
          </cell>
          <cell r="GU60">
            <v>7907</v>
          </cell>
          <cell r="GV60">
            <v>7856</v>
          </cell>
          <cell r="GW60">
            <v>9782</v>
          </cell>
          <cell r="GX60">
            <v>12437</v>
          </cell>
          <cell r="GY60">
            <v>15006</v>
          </cell>
          <cell r="HK60">
            <v>2290</v>
          </cell>
          <cell r="HL60">
            <v>1953</v>
          </cell>
          <cell r="HM60">
            <v>1046</v>
          </cell>
          <cell r="HN60">
            <v>521</v>
          </cell>
          <cell r="HO60">
            <v>459</v>
          </cell>
          <cell r="HP60">
            <v>503</v>
          </cell>
          <cell r="HQ60">
            <v>329</v>
          </cell>
          <cell r="HR60">
            <v>255</v>
          </cell>
          <cell r="HS60">
            <v>251</v>
          </cell>
          <cell r="HT60">
            <v>236</v>
          </cell>
          <cell r="HU60">
            <v>226</v>
          </cell>
          <cell r="HV60">
            <v>435</v>
          </cell>
          <cell r="HW60">
            <v>611</v>
          </cell>
          <cell r="HX60">
            <v>466</v>
          </cell>
          <cell r="HY60">
            <v>520</v>
          </cell>
          <cell r="HZ60">
            <v>221</v>
          </cell>
          <cell r="IA60">
            <v>155</v>
          </cell>
          <cell r="IB60">
            <v>146</v>
          </cell>
          <cell r="IC60">
            <v>139</v>
          </cell>
          <cell r="ID60">
            <v>300</v>
          </cell>
          <cell r="IE60">
            <v>287</v>
          </cell>
          <cell r="IF60">
            <v>262</v>
          </cell>
          <cell r="IG60">
            <v>514</v>
          </cell>
          <cell r="IH60">
            <v>399</v>
          </cell>
        </row>
        <row r="62">
          <cell r="FC62">
            <v>11</v>
          </cell>
          <cell r="FD62">
            <v>10</v>
          </cell>
          <cell r="FE62">
            <v>12</v>
          </cell>
          <cell r="FF62">
            <v>16</v>
          </cell>
          <cell r="FG62">
            <v>6</v>
          </cell>
          <cell r="FH62">
            <v>8</v>
          </cell>
          <cell r="FI62">
            <v>8</v>
          </cell>
          <cell r="FJ62">
            <v>6</v>
          </cell>
          <cell r="FK62">
            <v>4</v>
          </cell>
          <cell r="FL62">
            <v>6</v>
          </cell>
          <cell r="FM62">
            <v>6</v>
          </cell>
          <cell r="FN62">
            <v>7</v>
          </cell>
          <cell r="FO62">
            <v>5</v>
          </cell>
          <cell r="FP62">
            <v>1</v>
          </cell>
          <cell r="FQ62">
            <v>4</v>
          </cell>
          <cell r="FR62">
            <v>3</v>
          </cell>
          <cell r="FS62">
            <v>3</v>
          </cell>
          <cell r="FT62">
            <v>6</v>
          </cell>
          <cell r="FU62">
            <v>0</v>
          </cell>
          <cell r="FV62">
            <v>0</v>
          </cell>
          <cell r="FW62">
            <v>4</v>
          </cell>
          <cell r="FX62">
            <v>3</v>
          </cell>
          <cell r="FY62">
            <v>2</v>
          </cell>
          <cell r="FZ62">
            <v>2</v>
          </cell>
          <cell r="GA62">
            <v>4</v>
          </cell>
          <cell r="GB62">
            <v>3</v>
          </cell>
          <cell r="GC62">
            <v>1</v>
          </cell>
          <cell r="GD62">
            <v>3</v>
          </cell>
          <cell r="GE62">
            <v>5</v>
          </cell>
          <cell r="GF62">
            <v>3</v>
          </cell>
          <cell r="GG62">
            <v>0</v>
          </cell>
          <cell r="GH62">
            <v>4</v>
          </cell>
          <cell r="GI62">
            <v>4</v>
          </cell>
          <cell r="GJ62">
            <v>7</v>
          </cell>
          <cell r="GK62">
            <v>6</v>
          </cell>
          <cell r="GL62">
            <v>11</v>
          </cell>
          <cell r="GM62">
            <v>8</v>
          </cell>
          <cell r="GN62">
            <v>9</v>
          </cell>
          <cell r="GO62">
            <v>458</v>
          </cell>
          <cell r="GP62">
            <v>4226</v>
          </cell>
          <cell r="GQ62">
            <v>495</v>
          </cell>
          <cell r="GR62">
            <v>284</v>
          </cell>
          <cell r="GS62">
            <v>875</v>
          </cell>
          <cell r="GT62">
            <v>4805</v>
          </cell>
          <cell r="GU62">
            <v>335</v>
          </cell>
          <cell r="GV62">
            <v>252</v>
          </cell>
          <cell r="GW62">
            <v>863</v>
          </cell>
          <cell r="GX62">
            <v>587</v>
          </cell>
          <cell r="GY62">
            <v>807</v>
          </cell>
          <cell r="GZ62">
            <v>833</v>
          </cell>
          <cell r="HA62">
            <v>688</v>
          </cell>
          <cell r="HB62">
            <v>770</v>
          </cell>
          <cell r="HC62">
            <v>448</v>
          </cell>
          <cell r="HD62">
            <v>133</v>
          </cell>
          <cell r="HE62">
            <v>75</v>
          </cell>
          <cell r="HF62">
            <v>101</v>
          </cell>
          <cell r="HG62">
            <v>92</v>
          </cell>
          <cell r="HH62">
            <v>83</v>
          </cell>
          <cell r="HI62">
            <v>140</v>
          </cell>
          <cell r="HJ62">
            <v>213</v>
          </cell>
          <cell r="HK62">
            <v>218</v>
          </cell>
          <cell r="HL62">
            <v>106</v>
          </cell>
          <cell r="HM62">
            <v>84</v>
          </cell>
          <cell r="HN62">
            <v>19</v>
          </cell>
          <cell r="HO62">
            <v>37</v>
          </cell>
          <cell r="HP62">
            <v>52</v>
          </cell>
          <cell r="HQ62">
            <v>19</v>
          </cell>
          <cell r="HR62">
            <v>24</v>
          </cell>
          <cell r="HS62">
            <v>38</v>
          </cell>
          <cell r="HT62">
            <v>17</v>
          </cell>
          <cell r="HU62">
            <v>15</v>
          </cell>
          <cell r="HV62">
            <v>10</v>
          </cell>
          <cell r="HW62">
            <v>32</v>
          </cell>
          <cell r="HX62">
            <v>9</v>
          </cell>
          <cell r="HY62">
            <v>22</v>
          </cell>
          <cell r="HZ62">
            <v>0</v>
          </cell>
          <cell r="IA62">
            <v>9</v>
          </cell>
          <cell r="IB62">
            <v>4</v>
          </cell>
          <cell r="IC62">
            <v>16</v>
          </cell>
          <cell r="ID62">
            <v>16</v>
          </cell>
          <cell r="IE62">
            <v>16</v>
          </cell>
          <cell r="IF62">
            <v>16</v>
          </cell>
          <cell r="IG62">
            <v>7</v>
          </cell>
          <cell r="IH62">
            <v>16</v>
          </cell>
        </row>
        <row r="63">
          <cell r="FC63">
            <v>10</v>
          </cell>
          <cell r="FD63">
            <v>7</v>
          </cell>
          <cell r="FE63">
            <v>11</v>
          </cell>
          <cell r="FF63">
            <v>16</v>
          </cell>
          <cell r="FG63">
            <v>6</v>
          </cell>
          <cell r="FH63">
            <v>8</v>
          </cell>
          <cell r="FI63">
            <v>6</v>
          </cell>
          <cell r="FJ63">
            <v>6</v>
          </cell>
          <cell r="FK63">
            <v>3</v>
          </cell>
          <cell r="FL63">
            <v>6</v>
          </cell>
          <cell r="FM63">
            <v>3</v>
          </cell>
          <cell r="FN63">
            <v>5</v>
          </cell>
          <cell r="FO63">
            <v>4</v>
          </cell>
          <cell r="FP63">
            <v>1</v>
          </cell>
          <cell r="FQ63">
            <v>3</v>
          </cell>
          <cell r="FR63">
            <v>2</v>
          </cell>
          <cell r="FS63">
            <v>1</v>
          </cell>
          <cell r="FT63">
            <v>4</v>
          </cell>
          <cell r="FU63">
            <v>0</v>
          </cell>
          <cell r="FV63">
            <v>0</v>
          </cell>
          <cell r="FW63">
            <v>4</v>
          </cell>
          <cell r="FX63">
            <v>1</v>
          </cell>
          <cell r="FY63">
            <v>0</v>
          </cell>
          <cell r="FZ63">
            <v>1</v>
          </cell>
          <cell r="GA63">
            <v>1</v>
          </cell>
          <cell r="GB63">
            <v>1</v>
          </cell>
          <cell r="GC63">
            <v>1</v>
          </cell>
          <cell r="GD63">
            <v>1</v>
          </cell>
          <cell r="GE63">
            <v>3</v>
          </cell>
          <cell r="GF63">
            <v>2</v>
          </cell>
          <cell r="GG63">
            <v>0</v>
          </cell>
          <cell r="GH63">
            <v>4</v>
          </cell>
          <cell r="GI63">
            <v>3</v>
          </cell>
          <cell r="GJ63">
            <v>6</v>
          </cell>
          <cell r="GK63">
            <v>3</v>
          </cell>
          <cell r="GL63">
            <v>9</v>
          </cell>
          <cell r="GM63">
            <v>7</v>
          </cell>
          <cell r="GN63">
            <v>8</v>
          </cell>
          <cell r="GO63">
            <v>447</v>
          </cell>
          <cell r="GP63">
            <v>4187</v>
          </cell>
          <cell r="GQ63">
            <v>375</v>
          </cell>
          <cell r="GR63">
            <v>225</v>
          </cell>
          <cell r="GS63">
            <v>841</v>
          </cell>
          <cell r="GT63">
            <v>4783</v>
          </cell>
          <cell r="GU63">
            <v>313</v>
          </cell>
          <cell r="GV63">
            <v>233</v>
          </cell>
          <cell r="GW63">
            <v>834</v>
          </cell>
          <cell r="GX63">
            <v>548</v>
          </cell>
          <cell r="GY63">
            <v>789</v>
          </cell>
          <cell r="GZ63">
            <v>808</v>
          </cell>
          <cell r="HA63">
            <v>665</v>
          </cell>
          <cell r="HB63">
            <v>736</v>
          </cell>
          <cell r="HC63">
            <v>438</v>
          </cell>
          <cell r="HD63">
            <v>125</v>
          </cell>
          <cell r="HE63">
            <v>68</v>
          </cell>
          <cell r="HF63">
            <v>90</v>
          </cell>
          <cell r="HG63">
            <v>71</v>
          </cell>
          <cell r="HH63">
            <v>78</v>
          </cell>
          <cell r="HI63">
            <v>135</v>
          </cell>
          <cell r="HJ63">
            <v>201</v>
          </cell>
          <cell r="HK63">
            <v>205</v>
          </cell>
          <cell r="HL63">
            <v>92</v>
          </cell>
          <cell r="HM63">
            <v>66</v>
          </cell>
          <cell r="HN63">
            <v>11</v>
          </cell>
          <cell r="HO63">
            <v>24</v>
          </cell>
          <cell r="HP63">
            <v>42</v>
          </cell>
          <cell r="HQ63">
            <v>13</v>
          </cell>
          <cell r="HR63">
            <v>21</v>
          </cell>
          <cell r="HS63">
            <v>23</v>
          </cell>
          <cell r="HT63">
            <v>7</v>
          </cell>
          <cell r="HU63">
            <v>7</v>
          </cell>
          <cell r="HV63">
            <v>10</v>
          </cell>
          <cell r="HW63">
            <v>23</v>
          </cell>
          <cell r="HX63">
            <v>6</v>
          </cell>
          <cell r="HY63">
            <v>9</v>
          </cell>
          <cell r="HZ63">
            <v>0</v>
          </cell>
          <cell r="IA63">
            <v>9</v>
          </cell>
          <cell r="IB63">
            <v>4</v>
          </cell>
          <cell r="IC63">
            <v>16</v>
          </cell>
          <cell r="ID63">
            <v>16</v>
          </cell>
          <cell r="IE63">
            <v>16</v>
          </cell>
          <cell r="IF63">
            <v>16</v>
          </cell>
          <cell r="IG63">
            <v>7</v>
          </cell>
          <cell r="IH63">
            <v>16</v>
          </cell>
        </row>
        <row r="64">
          <cell r="FC64">
            <v>158</v>
          </cell>
          <cell r="FD64">
            <v>71</v>
          </cell>
          <cell r="FE64">
            <v>160</v>
          </cell>
          <cell r="FF64">
            <v>230</v>
          </cell>
          <cell r="FG64">
            <v>68</v>
          </cell>
          <cell r="FH64">
            <v>81</v>
          </cell>
          <cell r="FI64">
            <v>38</v>
          </cell>
          <cell r="FJ64">
            <v>68</v>
          </cell>
          <cell r="FK64">
            <v>54</v>
          </cell>
          <cell r="FL64">
            <v>54</v>
          </cell>
          <cell r="FM64">
            <v>9</v>
          </cell>
          <cell r="FN64">
            <v>177</v>
          </cell>
          <cell r="FO64">
            <v>51</v>
          </cell>
          <cell r="FP64">
            <v>1</v>
          </cell>
          <cell r="FQ64">
            <v>14</v>
          </cell>
          <cell r="FR64">
            <v>29</v>
          </cell>
          <cell r="FS64">
            <v>31</v>
          </cell>
          <cell r="FT64">
            <v>16</v>
          </cell>
          <cell r="FU64">
            <v>0</v>
          </cell>
          <cell r="FV64">
            <v>0</v>
          </cell>
          <cell r="FW64">
            <v>235</v>
          </cell>
          <cell r="FX64">
            <v>4</v>
          </cell>
          <cell r="FY64">
            <v>0</v>
          </cell>
          <cell r="FZ64">
            <v>155</v>
          </cell>
          <cell r="GA64">
            <v>64</v>
          </cell>
          <cell r="GB64">
            <v>4</v>
          </cell>
          <cell r="GC64">
            <v>11</v>
          </cell>
          <cell r="GD64">
            <v>146</v>
          </cell>
          <cell r="GE64">
            <v>80</v>
          </cell>
          <cell r="GF64">
            <v>28</v>
          </cell>
          <cell r="GG64">
            <v>0</v>
          </cell>
          <cell r="GH64">
            <v>74</v>
          </cell>
          <cell r="GI64">
            <v>169</v>
          </cell>
          <cell r="GJ64">
            <v>256</v>
          </cell>
          <cell r="GK64">
            <v>66</v>
          </cell>
          <cell r="GL64">
            <v>264</v>
          </cell>
          <cell r="GM64">
            <v>86</v>
          </cell>
          <cell r="GN64">
            <v>172</v>
          </cell>
          <cell r="GO64">
            <v>3455</v>
          </cell>
          <cell r="GP64">
            <v>42457</v>
          </cell>
          <cell r="GQ64">
            <v>4885</v>
          </cell>
          <cell r="GR64">
            <v>5523</v>
          </cell>
          <cell r="GS64">
            <v>11643</v>
          </cell>
          <cell r="GT64">
            <v>47990</v>
          </cell>
          <cell r="GU64">
            <v>3587</v>
          </cell>
          <cell r="GV64">
            <v>2432</v>
          </cell>
          <cell r="GW64">
            <v>13170</v>
          </cell>
          <cell r="GX64">
            <v>6883</v>
          </cell>
          <cell r="GY64">
            <v>7464</v>
          </cell>
          <cell r="GZ64">
            <v>14273</v>
          </cell>
          <cell r="HA64">
            <v>4904</v>
          </cell>
          <cell r="HB64">
            <v>8168</v>
          </cell>
          <cell r="HC64">
            <v>4076</v>
          </cell>
          <cell r="HD64">
            <v>1014</v>
          </cell>
          <cell r="HE64">
            <v>502</v>
          </cell>
          <cell r="HF64">
            <v>805</v>
          </cell>
          <cell r="HG64">
            <v>1261</v>
          </cell>
          <cell r="HH64">
            <v>790</v>
          </cell>
          <cell r="HI64">
            <v>1103</v>
          </cell>
          <cell r="HJ64">
            <v>2204</v>
          </cell>
          <cell r="HK64">
            <v>2775</v>
          </cell>
          <cell r="HL64">
            <v>870</v>
          </cell>
          <cell r="HM64">
            <v>516</v>
          </cell>
          <cell r="HN64">
            <v>251</v>
          </cell>
          <cell r="HO64">
            <v>470</v>
          </cell>
          <cell r="HP64">
            <v>405</v>
          </cell>
          <cell r="HQ64">
            <v>87</v>
          </cell>
          <cell r="HR64">
            <v>926</v>
          </cell>
          <cell r="HS64">
            <v>842</v>
          </cell>
          <cell r="HT64">
            <v>55</v>
          </cell>
          <cell r="HU64">
            <v>249</v>
          </cell>
          <cell r="HV64">
            <v>282</v>
          </cell>
          <cell r="HW64">
            <v>709</v>
          </cell>
          <cell r="HX64">
            <v>302</v>
          </cell>
          <cell r="HY64">
            <v>129</v>
          </cell>
          <cell r="HZ64">
            <v>0</v>
          </cell>
          <cell r="IA64">
            <v>151</v>
          </cell>
          <cell r="IB64">
            <v>161</v>
          </cell>
          <cell r="IC64">
            <v>562</v>
          </cell>
          <cell r="ID64">
            <v>562</v>
          </cell>
          <cell r="IE64">
            <v>562</v>
          </cell>
          <cell r="IF64">
            <v>562</v>
          </cell>
          <cell r="IG64">
            <v>239</v>
          </cell>
          <cell r="IH64">
            <v>400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II3">
            <v>5691</v>
          </cell>
          <cell r="IJ3">
            <v>5740</v>
          </cell>
          <cell r="IK3">
            <v>5727</v>
          </cell>
          <cell r="IL3">
            <v>5764</v>
          </cell>
          <cell r="IM3">
            <v>5795</v>
          </cell>
          <cell r="IN3">
            <v>5861</v>
          </cell>
          <cell r="IO3">
            <v>6035</v>
          </cell>
          <cell r="IP3">
            <v>6009</v>
          </cell>
          <cell r="IQ3">
            <v>6173</v>
          </cell>
          <cell r="IR3">
            <v>6405</v>
          </cell>
          <cell r="IS3">
            <v>6738</v>
          </cell>
          <cell r="IT3">
            <v>7045</v>
          </cell>
        </row>
        <row r="4">
          <cell r="II4">
            <v>3460</v>
          </cell>
          <cell r="IJ4">
            <v>3368</v>
          </cell>
          <cell r="IK4">
            <v>3306</v>
          </cell>
          <cell r="IL4">
            <v>3259</v>
          </cell>
          <cell r="IM4">
            <v>3282</v>
          </cell>
          <cell r="IN4">
            <v>3315</v>
          </cell>
          <cell r="IO4">
            <v>3486</v>
          </cell>
          <cell r="IP4">
            <v>3623</v>
          </cell>
          <cell r="IQ4">
            <v>3711</v>
          </cell>
          <cell r="IR4">
            <v>3822</v>
          </cell>
          <cell r="IS4">
            <v>3984</v>
          </cell>
          <cell r="IT4">
            <v>4343</v>
          </cell>
        </row>
        <row r="5">
          <cell r="II5">
            <v>3200</v>
          </cell>
          <cell r="IJ5">
            <v>3223</v>
          </cell>
          <cell r="IK5">
            <v>3192</v>
          </cell>
          <cell r="IL5">
            <v>3210</v>
          </cell>
          <cell r="IM5">
            <v>3252</v>
          </cell>
          <cell r="IN5">
            <v>3313</v>
          </cell>
          <cell r="IO5">
            <v>3368</v>
          </cell>
          <cell r="IP5">
            <v>3351</v>
          </cell>
          <cell r="IQ5">
            <v>3429</v>
          </cell>
          <cell r="IR5">
            <v>3596</v>
          </cell>
          <cell r="IS5">
            <v>3797</v>
          </cell>
          <cell r="IT5">
            <v>4032</v>
          </cell>
        </row>
        <row r="6">
          <cell r="II6">
            <v>2491</v>
          </cell>
          <cell r="IJ6">
            <v>2517</v>
          </cell>
          <cell r="IK6">
            <v>2535</v>
          </cell>
          <cell r="IL6">
            <v>2554</v>
          </cell>
          <cell r="IM6">
            <v>2543</v>
          </cell>
          <cell r="IN6">
            <v>2548</v>
          </cell>
          <cell r="IO6">
            <v>2667</v>
          </cell>
          <cell r="IP6">
            <v>2658</v>
          </cell>
          <cell r="IQ6">
            <v>2744</v>
          </cell>
          <cell r="IR6">
            <v>2809</v>
          </cell>
          <cell r="IS6">
            <v>2941</v>
          </cell>
          <cell r="IT6">
            <v>3013</v>
          </cell>
        </row>
        <row r="7">
          <cell r="II7">
            <v>2566</v>
          </cell>
          <cell r="IJ7">
            <v>2629</v>
          </cell>
          <cell r="IK7">
            <v>2584</v>
          </cell>
          <cell r="IL7">
            <v>2602</v>
          </cell>
          <cell r="IM7">
            <v>2630</v>
          </cell>
          <cell r="IN7">
            <v>2660</v>
          </cell>
          <cell r="IO7">
            <v>2764</v>
          </cell>
          <cell r="IP7">
            <v>2749</v>
          </cell>
          <cell r="IQ7">
            <v>2821</v>
          </cell>
          <cell r="IR7">
            <v>2933</v>
          </cell>
          <cell r="IS7">
            <v>3039</v>
          </cell>
          <cell r="IT7">
            <v>3141</v>
          </cell>
        </row>
        <row r="8">
          <cell r="II8">
            <v>3125</v>
          </cell>
          <cell r="IJ8">
            <v>3111</v>
          </cell>
          <cell r="IK8">
            <v>3143</v>
          </cell>
          <cell r="IL8">
            <v>3162</v>
          </cell>
          <cell r="IM8">
            <v>3165</v>
          </cell>
          <cell r="IN8">
            <v>3201</v>
          </cell>
          <cell r="IO8">
            <v>3271</v>
          </cell>
          <cell r="IP8">
            <v>3260</v>
          </cell>
          <cell r="IQ8">
            <v>3352</v>
          </cell>
          <cell r="IR8">
            <v>3472</v>
          </cell>
          <cell r="IS8">
            <v>3699</v>
          </cell>
          <cell r="IT8">
            <v>3904</v>
          </cell>
        </row>
        <row r="10">
          <cell r="II10">
            <v>192</v>
          </cell>
          <cell r="IJ10">
            <v>187</v>
          </cell>
          <cell r="IK10">
            <v>176</v>
          </cell>
          <cell r="IL10">
            <v>164</v>
          </cell>
          <cell r="IM10">
            <v>148</v>
          </cell>
          <cell r="IN10">
            <v>158</v>
          </cell>
          <cell r="IO10">
            <v>202</v>
          </cell>
          <cell r="IP10">
            <v>208</v>
          </cell>
          <cell r="IQ10">
            <v>205</v>
          </cell>
          <cell r="IR10">
            <v>225</v>
          </cell>
          <cell r="IS10">
            <v>210</v>
          </cell>
          <cell r="IT10">
            <v>210</v>
          </cell>
        </row>
        <row r="11">
          <cell r="II11">
            <v>415</v>
          </cell>
          <cell r="IJ11">
            <v>426</v>
          </cell>
          <cell r="IK11">
            <v>421</v>
          </cell>
          <cell r="IL11">
            <v>431</v>
          </cell>
          <cell r="IM11">
            <v>437</v>
          </cell>
          <cell r="IN11">
            <v>438</v>
          </cell>
          <cell r="IO11">
            <v>466</v>
          </cell>
          <cell r="IP11">
            <v>487</v>
          </cell>
          <cell r="IQ11">
            <v>492</v>
          </cell>
          <cell r="IR11">
            <v>500</v>
          </cell>
          <cell r="IS11">
            <v>535</v>
          </cell>
          <cell r="IT11">
            <v>555</v>
          </cell>
        </row>
        <row r="12">
          <cell r="II12">
            <v>689</v>
          </cell>
          <cell r="IJ12">
            <v>696</v>
          </cell>
          <cell r="IK12">
            <v>663</v>
          </cell>
          <cell r="IL12">
            <v>648</v>
          </cell>
          <cell r="IM12">
            <v>653</v>
          </cell>
          <cell r="IN12">
            <v>688</v>
          </cell>
          <cell r="IO12">
            <v>715</v>
          </cell>
          <cell r="IP12">
            <v>719</v>
          </cell>
          <cell r="IQ12">
            <v>735</v>
          </cell>
          <cell r="IR12">
            <v>754</v>
          </cell>
          <cell r="IS12">
            <v>788</v>
          </cell>
          <cell r="IT12">
            <v>840</v>
          </cell>
        </row>
        <row r="13">
          <cell r="II13">
            <v>1386</v>
          </cell>
          <cell r="IJ13">
            <v>1380</v>
          </cell>
          <cell r="IK13">
            <v>1415</v>
          </cell>
          <cell r="IL13">
            <v>1458</v>
          </cell>
          <cell r="IM13">
            <v>1457</v>
          </cell>
          <cell r="IN13">
            <v>1463</v>
          </cell>
          <cell r="IO13">
            <v>1511</v>
          </cell>
          <cell r="IP13">
            <v>1496</v>
          </cell>
          <cell r="IQ13">
            <v>1553</v>
          </cell>
          <cell r="IR13">
            <v>1614</v>
          </cell>
          <cell r="IS13">
            <v>1709</v>
          </cell>
          <cell r="IT13">
            <v>1823</v>
          </cell>
        </row>
        <row r="14">
          <cell r="II14">
            <v>1171</v>
          </cell>
          <cell r="IJ14">
            <v>1181</v>
          </cell>
          <cell r="IK14">
            <v>1178</v>
          </cell>
          <cell r="IL14">
            <v>1188</v>
          </cell>
          <cell r="IM14">
            <v>1212</v>
          </cell>
          <cell r="IN14">
            <v>1213</v>
          </cell>
          <cell r="IO14">
            <v>1223</v>
          </cell>
          <cell r="IP14">
            <v>1194</v>
          </cell>
          <cell r="IQ14">
            <v>1239</v>
          </cell>
          <cell r="IR14">
            <v>1309</v>
          </cell>
          <cell r="IS14">
            <v>1410</v>
          </cell>
          <cell r="IT14">
            <v>1475</v>
          </cell>
        </row>
        <row r="15">
          <cell r="II15">
            <v>1225</v>
          </cell>
          <cell r="IJ15">
            <v>1247</v>
          </cell>
          <cell r="IK15">
            <v>1234</v>
          </cell>
          <cell r="IL15">
            <v>1233</v>
          </cell>
          <cell r="IM15">
            <v>1216</v>
          </cell>
          <cell r="IN15">
            <v>1240</v>
          </cell>
          <cell r="IO15">
            <v>1257</v>
          </cell>
          <cell r="IP15">
            <v>1240</v>
          </cell>
          <cell r="IQ15">
            <v>1263</v>
          </cell>
          <cell r="IR15">
            <v>1298</v>
          </cell>
          <cell r="IS15">
            <v>1362</v>
          </cell>
          <cell r="IT15">
            <v>1401</v>
          </cell>
        </row>
        <row r="16">
          <cell r="II16">
            <v>613</v>
          </cell>
          <cell r="IJ16">
            <v>623</v>
          </cell>
          <cell r="IK16">
            <v>640</v>
          </cell>
          <cell r="IL16">
            <v>642</v>
          </cell>
          <cell r="IM16">
            <v>672</v>
          </cell>
          <cell r="IN16">
            <v>661</v>
          </cell>
          <cell r="IO16">
            <v>661</v>
          </cell>
          <cell r="IP16">
            <v>665</v>
          </cell>
          <cell r="IQ16">
            <v>686</v>
          </cell>
          <cell r="IR16">
            <v>705</v>
          </cell>
          <cell r="IS16">
            <v>724</v>
          </cell>
          <cell r="IT16">
            <v>741</v>
          </cell>
        </row>
        <row r="19">
          <cell r="II19">
            <v>1034</v>
          </cell>
          <cell r="IJ19">
            <v>997</v>
          </cell>
          <cell r="IK19">
            <v>1001</v>
          </cell>
          <cell r="IL19">
            <v>980</v>
          </cell>
          <cell r="IM19">
            <v>1000</v>
          </cell>
          <cell r="IN19">
            <v>995</v>
          </cell>
          <cell r="IO19">
            <v>1055</v>
          </cell>
          <cell r="IP19">
            <v>1154</v>
          </cell>
          <cell r="IQ19">
            <v>1199</v>
          </cell>
          <cell r="IR19">
            <v>1229</v>
          </cell>
          <cell r="IS19">
            <v>1272</v>
          </cell>
          <cell r="IT19">
            <v>1371</v>
          </cell>
        </row>
        <row r="20">
          <cell r="II20">
            <v>461</v>
          </cell>
          <cell r="IJ20">
            <v>438</v>
          </cell>
          <cell r="IK20">
            <v>451</v>
          </cell>
          <cell r="IL20">
            <v>437</v>
          </cell>
          <cell r="IM20">
            <v>439</v>
          </cell>
          <cell r="IN20">
            <v>439</v>
          </cell>
          <cell r="IO20">
            <v>436</v>
          </cell>
          <cell r="IP20">
            <v>450</v>
          </cell>
          <cell r="IQ20">
            <v>459</v>
          </cell>
          <cell r="IR20">
            <v>473</v>
          </cell>
          <cell r="IS20">
            <v>497</v>
          </cell>
          <cell r="IT20">
            <v>553</v>
          </cell>
        </row>
        <row r="21">
          <cell r="II21">
            <v>1452</v>
          </cell>
          <cell r="IJ21">
            <v>1420</v>
          </cell>
          <cell r="IK21">
            <v>1373</v>
          </cell>
          <cell r="IL21">
            <v>1357</v>
          </cell>
          <cell r="IM21">
            <v>1360</v>
          </cell>
          <cell r="IN21">
            <v>1382</v>
          </cell>
          <cell r="IO21">
            <v>1491</v>
          </cell>
          <cell r="IP21">
            <v>1495</v>
          </cell>
          <cell r="IQ21">
            <v>1515</v>
          </cell>
          <cell r="IR21">
            <v>1595</v>
          </cell>
          <cell r="IS21">
            <v>1673</v>
          </cell>
          <cell r="IT21">
            <v>1819</v>
          </cell>
        </row>
        <row r="22">
          <cell r="II22">
            <v>176</v>
          </cell>
          <cell r="IJ22">
            <v>172</v>
          </cell>
          <cell r="IK22">
            <v>164</v>
          </cell>
          <cell r="IL22">
            <v>160</v>
          </cell>
          <cell r="IM22">
            <v>161</v>
          </cell>
          <cell r="IN22">
            <v>175</v>
          </cell>
          <cell r="IO22">
            <v>176</v>
          </cell>
          <cell r="IP22">
            <v>171</v>
          </cell>
          <cell r="IQ22">
            <v>186</v>
          </cell>
          <cell r="IR22">
            <v>183</v>
          </cell>
          <cell r="IS22">
            <v>203</v>
          </cell>
          <cell r="IT22">
            <v>226</v>
          </cell>
        </row>
        <row r="23">
          <cell r="II23">
            <v>337</v>
          </cell>
          <cell r="IJ23">
            <v>341</v>
          </cell>
          <cell r="IK23">
            <v>317</v>
          </cell>
          <cell r="IL23">
            <v>325</v>
          </cell>
          <cell r="IM23">
            <v>322</v>
          </cell>
          <cell r="IN23">
            <v>324</v>
          </cell>
          <cell r="IO23">
            <v>328</v>
          </cell>
          <cell r="IP23">
            <v>353</v>
          </cell>
          <cell r="IQ23">
            <v>352</v>
          </cell>
          <cell r="IR23">
            <v>342</v>
          </cell>
          <cell r="IS23">
            <v>339</v>
          </cell>
          <cell r="IT23">
            <v>374</v>
          </cell>
        </row>
        <row r="26">
          <cell r="II26">
            <v>1733</v>
          </cell>
          <cell r="IJ26">
            <v>1716</v>
          </cell>
          <cell r="IK26">
            <v>1742</v>
          </cell>
          <cell r="IL26">
            <v>1745</v>
          </cell>
          <cell r="IM26">
            <v>1765</v>
          </cell>
          <cell r="IN26">
            <v>1811</v>
          </cell>
          <cell r="IO26">
            <v>1889</v>
          </cell>
          <cell r="IP26">
            <v>1940</v>
          </cell>
          <cell r="IQ26">
            <v>1974</v>
          </cell>
          <cell r="IR26">
            <v>2064</v>
          </cell>
          <cell r="IS26">
            <v>2153</v>
          </cell>
          <cell r="IT26">
            <v>2237</v>
          </cell>
        </row>
        <row r="27">
          <cell r="II27">
            <v>718</v>
          </cell>
          <cell r="IJ27">
            <v>728</v>
          </cell>
          <cell r="IK27">
            <v>730</v>
          </cell>
          <cell r="IL27">
            <v>733</v>
          </cell>
          <cell r="IM27">
            <v>738</v>
          </cell>
          <cell r="IN27">
            <v>743</v>
          </cell>
          <cell r="IO27">
            <v>744</v>
          </cell>
          <cell r="IP27">
            <v>744</v>
          </cell>
          <cell r="IQ27">
            <v>758</v>
          </cell>
          <cell r="IR27">
            <v>771</v>
          </cell>
          <cell r="IS27">
            <v>831</v>
          </cell>
          <cell r="IT27">
            <v>883</v>
          </cell>
        </row>
        <row r="28">
          <cell r="II28">
            <v>2419</v>
          </cell>
          <cell r="IJ28">
            <v>2469</v>
          </cell>
          <cell r="IK28">
            <v>2443</v>
          </cell>
          <cell r="IL28">
            <v>2474</v>
          </cell>
          <cell r="IM28">
            <v>2470</v>
          </cell>
          <cell r="IN28">
            <v>2481</v>
          </cell>
          <cell r="IO28">
            <v>2579</v>
          </cell>
          <cell r="IP28">
            <v>2493</v>
          </cell>
          <cell r="IQ28">
            <v>2585</v>
          </cell>
          <cell r="IR28">
            <v>2724</v>
          </cell>
          <cell r="IS28">
            <v>2878</v>
          </cell>
          <cell r="IT28">
            <v>2993</v>
          </cell>
        </row>
        <row r="29">
          <cell r="II29">
            <v>286</v>
          </cell>
          <cell r="IJ29">
            <v>280</v>
          </cell>
          <cell r="IK29">
            <v>291</v>
          </cell>
          <cell r="IL29">
            <v>282</v>
          </cell>
          <cell r="IM29">
            <v>282</v>
          </cell>
          <cell r="IN29">
            <v>287</v>
          </cell>
          <cell r="IO29">
            <v>291</v>
          </cell>
          <cell r="IP29">
            <v>291</v>
          </cell>
          <cell r="IQ29">
            <v>308</v>
          </cell>
          <cell r="IR29">
            <v>302</v>
          </cell>
          <cell r="IS29">
            <v>331</v>
          </cell>
          <cell r="IT29">
            <v>352</v>
          </cell>
        </row>
        <row r="30">
          <cell r="II30">
            <v>535</v>
          </cell>
          <cell r="IJ30">
            <v>547</v>
          </cell>
          <cell r="IK30">
            <v>521</v>
          </cell>
          <cell r="IL30">
            <v>530</v>
          </cell>
          <cell r="IM30">
            <v>540</v>
          </cell>
          <cell r="IN30">
            <v>539</v>
          </cell>
          <cell r="IO30">
            <v>532</v>
          </cell>
          <cell r="IP30">
            <v>541</v>
          </cell>
          <cell r="IQ30">
            <v>548</v>
          </cell>
          <cell r="IR30">
            <v>544</v>
          </cell>
          <cell r="IS30">
            <v>545</v>
          </cell>
          <cell r="IT30">
            <v>580</v>
          </cell>
        </row>
        <row r="33">
          <cell r="II33">
            <v>1002</v>
          </cell>
          <cell r="IJ33">
            <v>861</v>
          </cell>
          <cell r="IK33">
            <v>803</v>
          </cell>
          <cell r="IL33">
            <v>853</v>
          </cell>
          <cell r="IM33">
            <v>803</v>
          </cell>
          <cell r="IN33">
            <v>850</v>
          </cell>
          <cell r="IO33">
            <v>948</v>
          </cell>
          <cell r="IP33">
            <v>819</v>
          </cell>
          <cell r="IQ33">
            <v>976</v>
          </cell>
          <cell r="IR33">
            <v>1062</v>
          </cell>
          <cell r="IS33">
            <v>1140</v>
          </cell>
          <cell r="IT33">
            <v>912</v>
          </cell>
        </row>
        <row r="34">
          <cell r="II34">
            <v>848</v>
          </cell>
          <cell r="IJ34">
            <v>817</v>
          </cell>
          <cell r="IK34">
            <v>816</v>
          </cell>
          <cell r="IL34">
            <v>826</v>
          </cell>
          <cell r="IM34">
            <v>781</v>
          </cell>
          <cell r="IN34">
            <v>782</v>
          </cell>
          <cell r="IO34">
            <v>774</v>
          </cell>
          <cell r="IP34">
            <v>845</v>
          </cell>
          <cell r="IQ34">
            <v>814</v>
          </cell>
          <cell r="IR34">
            <v>837</v>
          </cell>
          <cell r="IS34">
            <v>804</v>
          </cell>
          <cell r="IT34">
            <v>604</v>
          </cell>
        </row>
        <row r="35">
          <cell r="II35">
            <v>529</v>
          </cell>
          <cell r="IJ35">
            <v>697</v>
          </cell>
          <cell r="IK35">
            <v>530</v>
          </cell>
          <cell r="IL35">
            <v>535</v>
          </cell>
          <cell r="IM35">
            <v>495</v>
          </cell>
          <cell r="IN35">
            <v>473</v>
          </cell>
          <cell r="IO35">
            <v>462</v>
          </cell>
          <cell r="IP35">
            <v>543</v>
          </cell>
          <cell r="IQ35">
            <v>508</v>
          </cell>
          <cell r="IR35">
            <v>515</v>
          </cell>
          <cell r="IS35">
            <v>467</v>
          </cell>
          <cell r="IT35">
            <v>312</v>
          </cell>
        </row>
        <row r="36">
          <cell r="II36">
            <v>1828</v>
          </cell>
          <cell r="IJ36">
            <v>1918</v>
          </cell>
          <cell r="IK36">
            <v>1895</v>
          </cell>
          <cell r="IL36">
            <v>1522</v>
          </cell>
          <cell r="IM36">
            <v>1647</v>
          </cell>
          <cell r="IN36">
            <v>1379</v>
          </cell>
          <cell r="IO36">
            <v>1375</v>
          </cell>
          <cell r="IP36">
            <v>1421</v>
          </cell>
          <cell r="IQ36">
            <v>1828</v>
          </cell>
          <cell r="IR36">
            <v>1548</v>
          </cell>
          <cell r="IS36">
            <v>1642</v>
          </cell>
          <cell r="IT36">
            <v>1326</v>
          </cell>
        </row>
        <row r="38">
          <cell r="II38">
            <v>1005</v>
          </cell>
          <cell r="IJ38">
            <v>1020</v>
          </cell>
          <cell r="IK38">
            <v>1056</v>
          </cell>
          <cell r="IL38">
            <v>1102</v>
          </cell>
          <cell r="IM38">
            <v>1125</v>
          </cell>
          <cell r="IN38">
            <v>1104</v>
          </cell>
          <cell r="IO38">
            <v>1121</v>
          </cell>
          <cell r="IP38">
            <v>1142</v>
          </cell>
          <cell r="IQ38">
            <v>1154</v>
          </cell>
          <cell r="IR38">
            <v>1150</v>
          </cell>
          <cell r="IS38">
            <v>1145</v>
          </cell>
          <cell r="IT38">
            <v>1092</v>
          </cell>
        </row>
        <row r="39">
          <cell r="II39">
            <v>217</v>
          </cell>
          <cell r="IJ39">
            <v>255</v>
          </cell>
          <cell r="IK39">
            <v>256</v>
          </cell>
          <cell r="IL39">
            <v>255</v>
          </cell>
          <cell r="IM39">
            <v>252</v>
          </cell>
          <cell r="IN39">
            <v>230</v>
          </cell>
          <cell r="IO39">
            <v>183</v>
          </cell>
          <cell r="IP39">
            <v>165</v>
          </cell>
          <cell r="IQ39">
            <v>199</v>
          </cell>
          <cell r="IR39">
            <v>208</v>
          </cell>
          <cell r="IS39">
            <v>234</v>
          </cell>
          <cell r="IT39">
            <v>235</v>
          </cell>
        </row>
        <row r="40">
          <cell r="II40">
            <v>6</v>
          </cell>
          <cell r="IJ40">
            <v>2</v>
          </cell>
          <cell r="IK40">
            <v>4</v>
          </cell>
          <cell r="IL40">
            <v>4</v>
          </cell>
          <cell r="IM40">
            <v>5</v>
          </cell>
          <cell r="IN40">
            <v>3</v>
          </cell>
          <cell r="IO40">
            <v>3</v>
          </cell>
          <cell r="IP40">
            <v>9</v>
          </cell>
          <cell r="IQ40">
            <v>9</v>
          </cell>
          <cell r="IR40">
            <v>8</v>
          </cell>
          <cell r="IS40">
            <v>7</v>
          </cell>
          <cell r="IT40">
            <v>7</v>
          </cell>
        </row>
        <row r="41">
          <cell r="II41">
            <v>1003</v>
          </cell>
          <cell r="IJ41">
            <v>1095</v>
          </cell>
          <cell r="IK41">
            <v>1105</v>
          </cell>
          <cell r="IL41">
            <v>1144</v>
          </cell>
          <cell r="IM41">
            <v>1131</v>
          </cell>
          <cell r="IN41">
            <v>1209</v>
          </cell>
          <cell r="IO41">
            <v>1242</v>
          </cell>
          <cell r="IP41">
            <v>1070</v>
          </cell>
          <cell r="IQ41">
            <v>1100</v>
          </cell>
          <cell r="IR41">
            <v>1217</v>
          </cell>
          <cell r="IS41">
            <v>1368</v>
          </cell>
          <cell r="IT41">
            <v>1420</v>
          </cell>
        </row>
        <row r="42">
          <cell r="II42">
            <v>3460</v>
          </cell>
          <cell r="IJ42">
            <v>3368</v>
          </cell>
          <cell r="IK42">
            <v>3306</v>
          </cell>
          <cell r="IL42">
            <v>3259</v>
          </cell>
          <cell r="IM42">
            <v>3282</v>
          </cell>
          <cell r="IN42">
            <v>3315</v>
          </cell>
          <cell r="IO42">
            <v>3486</v>
          </cell>
          <cell r="IP42">
            <v>3623</v>
          </cell>
          <cell r="IQ42">
            <v>3711</v>
          </cell>
          <cell r="IR42">
            <v>3822</v>
          </cell>
          <cell r="IS42">
            <v>3984</v>
          </cell>
          <cell r="IT42">
            <v>4343</v>
          </cell>
        </row>
        <row r="44">
          <cell r="II44">
            <v>83</v>
          </cell>
          <cell r="IJ44">
            <v>53</v>
          </cell>
          <cell r="IK44">
            <v>70</v>
          </cell>
          <cell r="IL44">
            <v>58</v>
          </cell>
          <cell r="IM44">
            <v>70</v>
          </cell>
          <cell r="IN44">
            <v>58</v>
          </cell>
          <cell r="IO44">
            <v>80</v>
          </cell>
          <cell r="IP44">
            <v>81</v>
          </cell>
          <cell r="IQ44">
            <v>56</v>
          </cell>
          <cell r="IR44">
            <v>88</v>
          </cell>
          <cell r="IS44">
            <v>72</v>
          </cell>
          <cell r="IT44">
            <v>74</v>
          </cell>
        </row>
        <row r="47">
          <cell r="II47">
            <v>2191</v>
          </cell>
          <cell r="IJ47">
            <v>2030</v>
          </cell>
          <cell r="IK47">
            <v>2042</v>
          </cell>
          <cell r="IL47">
            <v>1960</v>
          </cell>
          <cell r="IM47">
            <v>1930</v>
          </cell>
          <cell r="IN47">
            <v>1992</v>
          </cell>
          <cell r="IO47">
            <v>2049</v>
          </cell>
          <cell r="IP47">
            <v>2081</v>
          </cell>
          <cell r="IQ47">
            <v>2164</v>
          </cell>
          <cell r="IR47">
            <v>2329</v>
          </cell>
          <cell r="IS47">
            <v>2573</v>
          </cell>
          <cell r="IT47">
            <v>2554</v>
          </cell>
        </row>
        <row r="48">
          <cell r="II48">
            <v>1220</v>
          </cell>
          <cell r="IJ48">
            <v>1401</v>
          </cell>
          <cell r="IK48">
            <v>1314</v>
          </cell>
          <cell r="IL48">
            <v>1351</v>
          </cell>
          <cell r="IM48">
            <v>1255</v>
          </cell>
          <cell r="IN48">
            <v>1271</v>
          </cell>
          <cell r="IO48">
            <v>1279</v>
          </cell>
          <cell r="IP48">
            <v>1206</v>
          </cell>
          <cell r="IQ48">
            <v>1296</v>
          </cell>
          <cell r="IR48">
            <v>1305</v>
          </cell>
          <cell r="IS48">
            <v>1344</v>
          </cell>
          <cell r="IT48">
            <v>1496</v>
          </cell>
        </row>
        <row r="49">
          <cell r="II49">
            <v>701</v>
          </cell>
          <cell r="IJ49">
            <v>748</v>
          </cell>
          <cell r="IK49">
            <v>778</v>
          </cell>
          <cell r="IL49">
            <v>823</v>
          </cell>
          <cell r="IM49">
            <v>938</v>
          </cell>
          <cell r="IN49">
            <v>886</v>
          </cell>
          <cell r="IO49">
            <v>925</v>
          </cell>
          <cell r="IP49">
            <v>864</v>
          </cell>
          <cell r="IQ49">
            <v>845</v>
          </cell>
          <cell r="IR49">
            <v>845</v>
          </cell>
          <cell r="IS49">
            <v>822</v>
          </cell>
          <cell r="IT49">
            <v>942</v>
          </cell>
        </row>
        <row r="50">
          <cell r="II50">
            <v>465</v>
          </cell>
          <cell r="IJ50">
            <v>445</v>
          </cell>
          <cell r="IK50">
            <v>492</v>
          </cell>
          <cell r="IL50">
            <v>541</v>
          </cell>
          <cell r="IM50">
            <v>572</v>
          </cell>
          <cell r="IN50">
            <v>614</v>
          </cell>
          <cell r="IO50">
            <v>641</v>
          </cell>
          <cell r="IP50">
            <v>721</v>
          </cell>
          <cell r="IQ50">
            <v>704</v>
          </cell>
          <cell r="IR50">
            <v>676</v>
          </cell>
          <cell r="IS50">
            <v>652</v>
          </cell>
          <cell r="IT50">
            <v>696</v>
          </cell>
        </row>
        <row r="51">
          <cell r="II51">
            <v>1114</v>
          </cell>
          <cell r="IJ51">
            <v>1116</v>
          </cell>
          <cell r="IK51">
            <v>1101</v>
          </cell>
          <cell r="IL51">
            <v>1089</v>
          </cell>
          <cell r="IM51">
            <v>1100</v>
          </cell>
          <cell r="IN51">
            <v>1098</v>
          </cell>
          <cell r="IO51">
            <v>1141</v>
          </cell>
          <cell r="IP51">
            <v>1137</v>
          </cell>
          <cell r="IQ51">
            <v>1164</v>
          </cell>
          <cell r="IR51">
            <v>1250</v>
          </cell>
          <cell r="IS51">
            <v>1347</v>
          </cell>
          <cell r="IT51">
            <v>1357</v>
          </cell>
        </row>
        <row r="54">
          <cell r="II54">
            <v>1884</v>
          </cell>
          <cell r="IJ54">
            <v>1786</v>
          </cell>
          <cell r="IK54">
            <v>1718</v>
          </cell>
          <cell r="IL54">
            <v>1431</v>
          </cell>
          <cell r="IM54">
            <v>1566</v>
          </cell>
          <cell r="IN54">
            <v>1026</v>
          </cell>
          <cell r="IO54">
            <v>1278</v>
          </cell>
          <cell r="IP54">
            <v>1247</v>
          </cell>
          <cell r="IQ54">
            <v>1489</v>
          </cell>
          <cell r="IR54">
            <v>1469</v>
          </cell>
          <cell r="IS54">
            <v>1503</v>
          </cell>
          <cell r="IT54">
            <v>938</v>
          </cell>
        </row>
        <row r="55">
          <cell r="II55">
            <v>1388</v>
          </cell>
          <cell r="IJ55">
            <v>1696</v>
          </cell>
          <cell r="IK55">
            <v>1741</v>
          </cell>
          <cell r="IL55">
            <v>1804</v>
          </cell>
          <cell r="IM55">
            <v>1441</v>
          </cell>
          <cell r="IN55">
            <v>1294</v>
          </cell>
          <cell r="IO55">
            <v>1282</v>
          </cell>
          <cell r="IP55">
            <v>1201</v>
          </cell>
          <cell r="IQ55">
            <v>1082</v>
          </cell>
          <cell r="IR55">
            <v>1749</v>
          </cell>
          <cell r="IS55">
            <v>1409</v>
          </cell>
          <cell r="IT55">
            <v>1254</v>
          </cell>
        </row>
        <row r="58">
          <cell r="II58">
            <v>25312</v>
          </cell>
          <cell r="IJ58">
            <v>21768</v>
          </cell>
          <cell r="IK58">
            <v>30253</v>
          </cell>
          <cell r="IL58">
            <v>22928</v>
          </cell>
          <cell r="IM58">
            <v>37493</v>
          </cell>
          <cell r="IN58">
            <v>27966</v>
          </cell>
          <cell r="IO58">
            <v>17326</v>
          </cell>
          <cell r="IP58">
            <v>33258</v>
          </cell>
          <cell r="IQ58">
            <v>40912</v>
          </cell>
          <cell r="IR58">
            <v>70349</v>
          </cell>
          <cell r="IS58">
            <v>55125</v>
          </cell>
          <cell r="IT58">
            <v>29623</v>
          </cell>
        </row>
        <row r="59">
          <cell r="II59">
            <v>23</v>
          </cell>
          <cell r="IJ59">
            <v>21</v>
          </cell>
          <cell r="IK59">
            <v>25</v>
          </cell>
          <cell r="IL59">
            <v>27</v>
          </cell>
          <cell r="IM59">
            <v>31</v>
          </cell>
          <cell r="IN59">
            <v>31</v>
          </cell>
          <cell r="IO59">
            <v>22</v>
          </cell>
          <cell r="IP59">
            <v>31</v>
          </cell>
          <cell r="IQ59">
            <v>33</v>
          </cell>
          <cell r="IR59">
            <v>48</v>
          </cell>
          <cell r="IS59">
            <v>54</v>
          </cell>
          <cell r="IT59">
            <v>39</v>
          </cell>
        </row>
        <row r="60">
          <cell r="II60">
            <v>512</v>
          </cell>
          <cell r="IJ60">
            <v>465</v>
          </cell>
          <cell r="IK60">
            <v>609</v>
          </cell>
          <cell r="IL60">
            <v>466</v>
          </cell>
          <cell r="IM60">
            <v>687</v>
          </cell>
          <cell r="IN60">
            <v>577</v>
          </cell>
          <cell r="IO60">
            <v>337</v>
          </cell>
          <cell r="IP60">
            <v>632</v>
          </cell>
          <cell r="IQ60">
            <v>698</v>
          </cell>
          <cell r="IR60">
            <v>1172</v>
          </cell>
          <cell r="IS60">
            <v>1028</v>
          </cell>
          <cell r="IT60">
            <v>595</v>
          </cell>
        </row>
        <row r="62">
          <cell r="II62">
            <v>5</v>
          </cell>
          <cell r="IJ62">
            <v>17</v>
          </cell>
          <cell r="IK62">
            <v>19</v>
          </cell>
          <cell r="IL62">
            <v>11</v>
          </cell>
          <cell r="IM62">
            <v>16</v>
          </cell>
          <cell r="IN62">
            <v>21</v>
          </cell>
          <cell r="IO62">
            <v>25</v>
          </cell>
          <cell r="IP62">
            <v>17</v>
          </cell>
          <cell r="IQ62">
            <v>33</v>
          </cell>
          <cell r="IR62">
            <v>27</v>
          </cell>
          <cell r="IS62">
            <v>25</v>
          </cell>
          <cell r="IT62">
            <v>30</v>
          </cell>
        </row>
        <row r="63">
          <cell r="II63">
            <v>5</v>
          </cell>
          <cell r="IJ63">
            <v>17</v>
          </cell>
          <cell r="IK63">
            <v>19</v>
          </cell>
          <cell r="IL63">
            <v>11</v>
          </cell>
          <cell r="IM63">
            <v>13</v>
          </cell>
          <cell r="IN63">
            <v>17</v>
          </cell>
          <cell r="IO63">
            <v>21</v>
          </cell>
          <cell r="IP63">
            <v>15</v>
          </cell>
          <cell r="IQ63">
            <v>30</v>
          </cell>
          <cell r="IR63">
            <v>23</v>
          </cell>
          <cell r="IS63">
            <v>19</v>
          </cell>
          <cell r="IT63">
            <v>29</v>
          </cell>
        </row>
        <row r="64">
          <cell r="II64">
            <v>163</v>
          </cell>
          <cell r="IJ64">
            <v>411</v>
          </cell>
          <cell r="IK64">
            <v>531</v>
          </cell>
          <cell r="IL64">
            <v>186</v>
          </cell>
          <cell r="IM64">
            <v>233</v>
          </cell>
          <cell r="IN64">
            <v>475</v>
          </cell>
          <cell r="IO64">
            <v>643</v>
          </cell>
          <cell r="IP64">
            <v>456</v>
          </cell>
          <cell r="IQ64">
            <v>841</v>
          </cell>
          <cell r="IR64">
            <v>343</v>
          </cell>
          <cell r="IS64">
            <v>400</v>
          </cell>
          <cell r="IT64">
            <v>587</v>
          </cell>
        </row>
      </sheetData>
      <sheetData sheetId="2"/>
      <sheetData sheetId="3">
        <row r="4">
          <cell r="G4">
            <v>149362.15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IU3">
            <v>7269</v>
          </cell>
          <cell r="IV3">
            <v>7332</v>
          </cell>
          <cell r="IW3">
            <v>7382</v>
          </cell>
          <cell r="IX3">
            <v>7296</v>
          </cell>
          <cell r="IY3">
            <v>7193</v>
          </cell>
          <cell r="IZ3">
            <v>7363</v>
          </cell>
          <cell r="JA3">
            <v>7470</v>
          </cell>
          <cell r="JB3">
            <v>7461</v>
          </cell>
          <cell r="JC3">
            <v>7495</v>
          </cell>
          <cell r="JD3">
            <v>7720</v>
          </cell>
          <cell r="JE3">
            <v>7855</v>
          </cell>
          <cell r="JF3">
            <v>7987</v>
          </cell>
        </row>
        <row r="4">
          <cell r="IU4">
            <v>4633</v>
          </cell>
          <cell r="IV4">
            <v>4676</v>
          </cell>
          <cell r="IW4">
            <v>4663</v>
          </cell>
          <cell r="IX4">
            <v>4510</v>
          </cell>
          <cell r="IY4">
            <v>4383</v>
          </cell>
          <cell r="IZ4">
            <v>4471</v>
          </cell>
          <cell r="JA4">
            <v>4531</v>
          </cell>
          <cell r="JB4">
            <v>4658</v>
          </cell>
          <cell r="JC4">
            <v>4618</v>
          </cell>
          <cell r="JD4">
            <v>4594</v>
          </cell>
          <cell r="JE4">
            <v>4644</v>
          </cell>
          <cell r="JF4">
            <v>4932</v>
          </cell>
        </row>
        <row r="5">
          <cell r="IU5">
            <v>4138</v>
          </cell>
          <cell r="IV5">
            <v>4153</v>
          </cell>
          <cell r="IW5">
            <v>4142</v>
          </cell>
          <cell r="IX5">
            <v>4043</v>
          </cell>
          <cell r="IY5">
            <v>3951</v>
          </cell>
          <cell r="IZ5">
            <v>4038</v>
          </cell>
          <cell r="JA5">
            <v>4111</v>
          </cell>
          <cell r="JB5">
            <v>4083</v>
          </cell>
          <cell r="JC5">
            <v>4076</v>
          </cell>
          <cell r="JD5">
            <v>4234</v>
          </cell>
          <cell r="JE5">
            <v>4370</v>
          </cell>
          <cell r="JF5">
            <v>4504</v>
          </cell>
        </row>
        <row r="6">
          <cell r="IU6">
            <v>3131</v>
          </cell>
          <cell r="IV6">
            <v>3179</v>
          </cell>
          <cell r="IW6">
            <v>3240</v>
          </cell>
          <cell r="IX6">
            <v>3253</v>
          </cell>
          <cell r="IY6">
            <v>3242</v>
          </cell>
          <cell r="IZ6">
            <v>3325</v>
          </cell>
          <cell r="JA6">
            <v>3359</v>
          </cell>
          <cell r="JB6">
            <v>3378</v>
          </cell>
          <cell r="JC6">
            <v>3419</v>
          </cell>
          <cell r="JD6">
            <v>3486</v>
          </cell>
          <cell r="JE6">
            <v>3485</v>
          </cell>
          <cell r="JF6">
            <v>3483</v>
          </cell>
        </row>
        <row r="7">
          <cell r="IU7">
            <v>3231</v>
          </cell>
          <cell r="IV7">
            <v>3253</v>
          </cell>
          <cell r="IW7">
            <v>3319</v>
          </cell>
          <cell r="IX7">
            <v>3296</v>
          </cell>
          <cell r="IY7">
            <v>3272</v>
          </cell>
          <cell r="IZ7">
            <v>3362</v>
          </cell>
          <cell r="JA7">
            <v>3437</v>
          </cell>
          <cell r="JB7">
            <v>3487</v>
          </cell>
          <cell r="JC7">
            <v>3506</v>
          </cell>
          <cell r="JD7">
            <v>3601</v>
          </cell>
          <cell r="JE7">
            <v>3634</v>
          </cell>
          <cell r="JF7">
            <v>3694</v>
          </cell>
        </row>
        <row r="8">
          <cell r="IU8">
            <v>4038</v>
          </cell>
          <cell r="IV8">
            <v>4079</v>
          </cell>
          <cell r="IW8">
            <v>4063</v>
          </cell>
          <cell r="IX8">
            <v>4000</v>
          </cell>
          <cell r="IY8">
            <v>3921</v>
          </cell>
          <cell r="IZ8">
            <v>4001</v>
          </cell>
          <cell r="JA8">
            <v>4033</v>
          </cell>
          <cell r="JB8">
            <v>3974</v>
          </cell>
          <cell r="JC8">
            <v>3989</v>
          </cell>
          <cell r="JD8">
            <v>4119</v>
          </cell>
          <cell r="JE8">
            <v>4221</v>
          </cell>
          <cell r="JF8">
            <v>4293</v>
          </cell>
        </row>
        <row r="10">
          <cell r="IU10">
            <v>213</v>
          </cell>
          <cell r="IV10">
            <v>206</v>
          </cell>
          <cell r="IW10">
            <v>210</v>
          </cell>
          <cell r="IX10">
            <v>214</v>
          </cell>
          <cell r="IY10">
            <v>215</v>
          </cell>
          <cell r="IZ10">
            <v>275</v>
          </cell>
          <cell r="JA10">
            <v>311</v>
          </cell>
          <cell r="JB10">
            <v>328</v>
          </cell>
          <cell r="JC10">
            <v>309</v>
          </cell>
          <cell r="JD10">
            <v>292</v>
          </cell>
          <cell r="JE10">
            <v>285</v>
          </cell>
          <cell r="JF10">
            <v>281</v>
          </cell>
        </row>
        <row r="11">
          <cell r="IU11">
            <v>567</v>
          </cell>
          <cell r="IV11">
            <v>596</v>
          </cell>
          <cell r="IW11">
            <v>589</v>
          </cell>
          <cell r="IX11">
            <v>555</v>
          </cell>
          <cell r="IY11">
            <v>509</v>
          </cell>
          <cell r="IZ11">
            <v>522</v>
          </cell>
          <cell r="JA11">
            <v>559</v>
          </cell>
          <cell r="JB11">
            <v>593</v>
          </cell>
          <cell r="JC11">
            <v>598</v>
          </cell>
          <cell r="JD11">
            <v>620</v>
          </cell>
          <cell r="JE11">
            <v>615</v>
          </cell>
          <cell r="JF11">
            <v>599</v>
          </cell>
        </row>
        <row r="12">
          <cell r="IU12">
            <v>863</v>
          </cell>
          <cell r="IV12">
            <v>873</v>
          </cell>
          <cell r="IW12">
            <v>886</v>
          </cell>
          <cell r="IX12">
            <v>870</v>
          </cell>
          <cell r="IY12">
            <v>854</v>
          </cell>
          <cell r="IZ12">
            <v>870</v>
          </cell>
          <cell r="JA12">
            <v>871</v>
          </cell>
          <cell r="JB12">
            <v>830</v>
          </cell>
          <cell r="JC12">
            <v>806</v>
          </cell>
          <cell r="JD12">
            <v>837</v>
          </cell>
          <cell r="JE12">
            <v>851</v>
          </cell>
          <cell r="JF12">
            <v>888</v>
          </cell>
        </row>
        <row r="13">
          <cell r="IU13">
            <v>1873</v>
          </cell>
          <cell r="IV13">
            <v>1852</v>
          </cell>
          <cell r="IW13">
            <v>1824</v>
          </cell>
          <cell r="IX13">
            <v>1807</v>
          </cell>
          <cell r="IY13">
            <v>1774</v>
          </cell>
          <cell r="IZ13">
            <v>1849</v>
          </cell>
          <cell r="JA13">
            <v>1873</v>
          </cell>
          <cell r="JB13">
            <v>1861</v>
          </cell>
          <cell r="JC13">
            <v>1881</v>
          </cell>
          <cell r="JD13">
            <v>1942</v>
          </cell>
          <cell r="JE13">
            <v>2018</v>
          </cell>
          <cell r="JF13">
            <v>2026</v>
          </cell>
        </row>
        <row r="14">
          <cell r="IU14">
            <v>1537</v>
          </cell>
          <cell r="IV14">
            <v>1576</v>
          </cell>
          <cell r="IW14">
            <v>1594</v>
          </cell>
          <cell r="IX14">
            <v>1583</v>
          </cell>
          <cell r="IY14">
            <v>1557</v>
          </cell>
          <cell r="IZ14">
            <v>1570</v>
          </cell>
          <cell r="JA14">
            <v>1561</v>
          </cell>
          <cell r="JB14">
            <v>1557</v>
          </cell>
          <cell r="JC14">
            <v>1608</v>
          </cell>
          <cell r="JD14">
            <v>1681</v>
          </cell>
          <cell r="JE14">
            <v>1722</v>
          </cell>
          <cell r="JF14">
            <v>1765</v>
          </cell>
        </row>
        <row r="15">
          <cell r="IU15">
            <v>1453</v>
          </cell>
          <cell r="IV15">
            <v>1451</v>
          </cell>
          <cell r="IW15">
            <v>1489</v>
          </cell>
          <cell r="IX15">
            <v>1460</v>
          </cell>
          <cell r="IY15">
            <v>1470</v>
          </cell>
          <cell r="IZ15">
            <v>1463</v>
          </cell>
          <cell r="JA15">
            <v>1451</v>
          </cell>
          <cell r="JB15">
            <v>1444</v>
          </cell>
          <cell r="JC15">
            <v>1438</v>
          </cell>
          <cell r="JD15">
            <v>1456</v>
          </cell>
          <cell r="JE15">
            <v>1466</v>
          </cell>
          <cell r="JF15">
            <v>1533</v>
          </cell>
        </row>
        <row r="16">
          <cell r="IU16">
            <v>763</v>
          </cell>
          <cell r="IV16">
            <v>778</v>
          </cell>
          <cell r="IW16">
            <v>790</v>
          </cell>
          <cell r="IX16">
            <v>807</v>
          </cell>
          <cell r="IY16">
            <v>814</v>
          </cell>
          <cell r="IZ16">
            <v>814</v>
          </cell>
          <cell r="JA16">
            <v>844</v>
          </cell>
          <cell r="JB16">
            <v>848</v>
          </cell>
          <cell r="JC16">
            <v>855</v>
          </cell>
          <cell r="JD16">
            <v>892</v>
          </cell>
          <cell r="JE16">
            <v>898</v>
          </cell>
          <cell r="JF16">
            <v>895</v>
          </cell>
        </row>
        <row r="19">
          <cell r="IU19">
            <v>1410</v>
          </cell>
          <cell r="IV19">
            <v>1452</v>
          </cell>
          <cell r="IW19">
            <v>1478</v>
          </cell>
          <cell r="IX19">
            <v>1418</v>
          </cell>
          <cell r="IY19">
            <v>1370</v>
          </cell>
          <cell r="IZ19">
            <v>1389</v>
          </cell>
          <cell r="JA19">
            <v>1437</v>
          </cell>
          <cell r="JB19">
            <v>1524</v>
          </cell>
          <cell r="JC19">
            <v>1506</v>
          </cell>
          <cell r="JD19">
            <v>1478</v>
          </cell>
          <cell r="JE19">
            <v>1505</v>
          </cell>
          <cell r="JF19">
            <v>1605</v>
          </cell>
        </row>
        <row r="20">
          <cell r="IU20">
            <v>598</v>
          </cell>
          <cell r="IV20">
            <v>611</v>
          </cell>
          <cell r="IW20">
            <v>618</v>
          </cell>
          <cell r="IX20">
            <v>608</v>
          </cell>
          <cell r="IY20">
            <v>582</v>
          </cell>
          <cell r="IZ20">
            <v>583</v>
          </cell>
          <cell r="JA20">
            <v>587</v>
          </cell>
          <cell r="JB20">
            <v>592</v>
          </cell>
          <cell r="JC20">
            <v>551</v>
          </cell>
          <cell r="JD20">
            <v>564</v>
          </cell>
          <cell r="JE20">
            <v>586</v>
          </cell>
          <cell r="JF20">
            <v>614</v>
          </cell>
        </row>
        <row r="21">
          <cell r="IU21">
            <v>1994</v>
          </cell>
          <cell r="IV21">
            <v>2012</v>
          </cell>
          <cell r="IW21">
            <v>1975</v>
          </cell>
          <cell r="IX21">
            <v>1885</v>
          </cell>
          <cell r="IY21">
            <v>1819</v>
          </cell>
          <cell r="IZ21">
            <v>1882</v>
          </cell>
          <cell r="JA21">
            <v>1897</v>
          </cell>
          <cell r="JB21">
            <v>1922</v>
          </cell>
          <cell r="JC21">
            <v>1943</v>
          </cell>
          <cell r="JD21">
            <v>1913</v>
          </cell>
          <cell r="JE21">
            <v>1932</v>
          </cell>
          <cell r="JF21">
            <v>2063</v>
          </cell>
        </row>
        <row r="22">
          <cell r="IU22">
            <v>254</v>
          </cell>
          <cell r="IV22">
            <v>240</v>
          </cell>
          <cell r="IW22">
            <v>232</v>
          </cell>
          <cell r="IX22">
            <v>223</v>
          </cell>
          <cell r="IY22">
            <v>231</v>
          </cell>
          <cell r="IZ22">
            <v>220</v>
          </cell>
          <cell r="JA22">
            <v>214</v>
          </cell>
          <cell r="JB22">
            <v>211</v>
          </cell>
          <cell r="JC22">
            <v>215</v>
          </cell>
          <cell r="JD22">
            <v>227</v>
          </cell>
          <cell r="JE22">
            <v>235</v>
          </cell>
          <cell r="JF22">
            <v>239</v>
          </cell>
        </row>
        <row r="23">
          <cell r="IU23">
            <v>377</v>
          </cell>
          <cell r="IV23">
            <v>361</v>
          </cell>
          <cell r="IW23">
            <v>360</v>
          </cell>
          <cell r="IX23">
            <v>376</v>
          </cell>
          <cell r="IY23">
            <v>381</v>
          </cell>
          <cell r="IZ23">
            <v>397</v>
          </cell>
          <cell r="JA23">
            <v>396</v>
          </cell>
          <cell r="JB23">
            <v>409</v>
          </cell>
          <cell r="JC23">
            <v>403</v>
          </cell>
          <cell r="JD23">
            <v>412</v>
          </cell>
          <cell r="JE23">
            <v>386</v>
          </cell>
          <cell r="JF23">
            <v>411</v>
          </cell>
        </row>
        <row r="26">
          <cell r="IU26">
            <v>2287</v>
          </cell>
          <cell r="IV26">
            <v>2311</v>
          </cell>
          <cell r="IW26">
            <v>2343</v>
          </cell>
          <cell r="IX26">
            <v>2323</v>
          </cell>
          <cell r="IY26">
            <v>2312</v>
          </cell>
          <cell r="IZ26">
            <v>2341</v>
          </cell>
          <cell r="JA26">
            <v>2400</v>
          </cell>
          <cell r="JB26">
            <v>2419</v>
          </cell>
          <cell r="JC26">
            <v>2431</v>
          </cell>
          <cell r="JD26">
            <v>2514</v>
          </cell>
          <cell r="JE26">
            <v>2583</v>
          </cell>
          <cell r="JF26">
            <v>2657</v>
          </cell>
        </row>
        <row r="27">
          <cell r="IU27">
            <v>941</v>
          </cell>
          <cell r="IV27">
            <v>968</v>
          </cell>
          <cell r="IW27">
            <v>970</v>
          </cell>
          <cell r="IX27">
            <v>943</v>
          </cell>
          <cell r="IY27">
            <v>922</v>
          </cell>
          <cell r="IZ27">
            <v>956</v>
          </cell>
          <cell r="JA27">
            <v>961</v>
          </cell>
          <cell r="JB27">
            <v>922</v>
          </cell>
          <cell r="JC27">
            <v>909</v>
          </cell>
          <cell r="JD27">
            <v>961</v>
          </cell>
          <cell r="JE27">
            <v>986</v>
          </cell>
          <cell r="JF27">
            <v>1002</v>
          </cell>
        </row>
        <row r="28">
          <cell r="IU28">
            <v>3095</v>
          </cell>
          <cell r="IV28">
            <v>3131</v>
          </cell>
          <cell r="IW28">
            <v>3137</v>
          </cell>
          <cell r="IX28">
            <v>3088</v>
          </cell>
          <cell r="IY28">
            <v>3033</v>
          </cell>
          <cell r="IZ28">
            <v>3123</v>
          </cell>
          <cell r="JA28">
            <v>3164</v>
          </cell>
          <cell r="JB28">
            <v>3156</v>
          </cell>
          <cell r="JC28">
            <v>3176</v>
          </cell>
          <cell r="JD28">
            <v>3230</v>
          </cell>
          <cell r="JE28">
            <v>3279</v>
          </cell>
          <cell r="JF28">
            <v>3311</v>
          </cell>
        </row>
        <row r="29">
          <cell r="IU29">
            <v>370</v>
          </cell>
          <cell r="IV29">
            <v>360</v>
          </cell>
          <cell r="IW29">
            <v>361</v>
          </cell>
          <cell r="IX29">
            <v>357</v>
          </cell>
          <cell r="IY29">
            <v>343</v>
          </cell>
          <cell r="IZ29">
            <v>345</v>
          </cell>
          <cell r="JA29">
            <v>339</v>
          </cell>
          <cell r="JB29">
            <v>345</v>
          </cell>
          <cell r="JC29">
            <v>361</v>
          </cell>
          <cell r="JD29">
            <v>377</v>
          </cell>
          <cell r="JE29">
            <v>384</v>
          </cell>
          <cell r="JF29">
            <v>378</v>
          </cell>
        </row>
        <row r="30">
          <cell r="IU30">
            <v>576</v>
          </cell>
          <cell r="IV30">
            <v>562</v>
          </cell>
          <cell r="IW30">
            <v>571</v>
          </cell>
          <cell r="IX30">
            <v>585</v>
          </cell>
          <cell r="IY30">
            <v>583</v>
          </cell>
          <cell r="IZ30">
            <v>598</v>
          </cell>
          <cell r="JA30">
            <v>606</v>
          </cell>
          <cell r="JB30">
            <v>619</v>
          </cell>
          <cell r="JC30">
            <v>618</v>
          </cell>
          <cell r="JD30">
            <v>638</v>
          </cell>
          <cell r="JE30">
            <v>623</v>
          </cell>
          <cell r="JF30">
            <v>639</v>
          </cell>
        </row>
        <row r="33">
          <cell r="IU33">
            <v>1136</v>
          </cell>
          <cell r="IV33">
            <v>862</v>
          </cell>
          <cell r="IW33">
            <v>963</v>
          </cell>
          <cell r="IX33">
            <v>834</v>
          </cell>
          <cell r="IY33">
            <v>963</v>
          </cell>
          <cell r="IZ33">
            <v>975</v>
          </cell>
          <cell r="JA33">
            <v>1001</v>
          </cell>
          <cell r="JB33">
            <v>941</v>
          </cell>
          <cell r="JC33">
            <v>957</v>
          </cell>
          <cell r="JD33">
            <v>1175</v>
          </cell>
          <cell r="JE33">
            <v>1066</v>
          </cell>
          <cell r="JF33">
            <v>810</v>
          </cell>
        </row>
        <row r="34">
          <cell r="IU34">
            <v>913</v>
          </cell>
          <cell r="IV34">
            <v>815</v>
          </cell>
          <cell r="IW34">
            <v>913</v>
          </cell>
          <cell r="IX34">
            <v>927</v>
          </cell>
          <cell r="IY34">
            <v>855</v>
          </cell>
          <cell r="IZ34">
            <v>813</v>
          </cell>
          <cell r="JA34">
            <v>902</v>
          </cell>
          <cell r="JB34">
            <v>955</v>
          </cell>
          <cell r="JC34">
            <v>931</v>
          </cell>
          <cell r="JD34">
            <v>953</v>
          </cell>
          <cell r="JE34">
            <v>934</v>
          </cell>
          <cell r="JF34">
            <v>685</v>
          </cell>
        </row>
        <row r="35">
          <cell r="IU35">
            <v>549</v>
          </cell>
          <cell r="IV35">
            <v>489</v>
          </cell>
          <cell r="IW35">
            <v>566</v>
          </cell>
          <cell r="IX35">
            <v>582</v>
          </cell>
          <cell r="IY35">
            <v>582</v>
          </cell>
          <cell r="IZ35">
            <v>471</v>
          </cell>
          <cell r="JA35">
            <v>497</v>
          </cell>
          <cell r="JB35">
            <v>610</v>
          </cell>
          <cell r="JC35">
            <v>575</v>
          </cell>
          <cell r="JD35">
            <v>574</v>
          </cell>
          <cell r="JE35">
            <v>547</v>
          </cell>
          <cell r="JF35">
            <v>351</v>
          </cell>
        </row>
        <row r="36">
          <cell r="IU36">
            <v>1553</v>
          </cell>
          <cell r="IV36">
            <v>1851</v>
          </cell>
          <cell r="IW36">
            <v>1714</v>
          </cell>
          <cell r="IX36">
            <v>1308</v>
          </cell>
          <cell r="IY36">
            <v>1284</v>
          </cell>
          <cell r="IZ36">
            <v>1435</v>
          </cell>
          <cell r="JA36">
            <v>1499</v>
          </cell>
          <cell r="JB36">
            <v>1394</v>
          </cell>
          <cell r="JC36">
            <v>1099</v>
          </cell>
          <cell r="JD36">
            <v>1243</v>
          </cell>
          <cell r="JE36">
            <v>1108</v>
          </cell>
          <cell r="JF36">
            <v>1266</v>
          </cell>
        </row>
        <row r="38">
          <cell r="IU38">
            <v>1084</v>
          </cell>
          <cell r="IV38">
            <v>1130</v>
          </cell>
          <cell r="IW38">
            <v>1146</v>
          </cell>
          <cell r="IX38">
            <v>1280</v>
          </cell>
          <cell r="IY38">
            <v>1327</v>
          </cell>
          <cell r="IZ38">
            <v>1344</v>
          </cell>
          <cell r="JA38">
            <v>1393</v>
          </cell>
          <cell r="JB38">
            <v>1395</v>
          </cell>
          <cell r="JC38">
            <v>1396</v>
          </cell>
          <cell r="JD38">
            <v>1399</v>
          </cell>
          <cell r="JE38">
            <v>1413</v>
          </cell>
          <cell r="JF38">
            <v>1326</v>
          </cell>
        </row>
        <row r="39">
          <cell r="IU39">
            <v>236</v>
          </cell>
          <cell r="IV39">
            <v>257</v>
          </cell>
          <cell r="IW39">
            <v>233</v>
          </cell>
          <cell r="IX39">
            <v>260</v>
          </cell>
          <cell r="IY39">
            <v>244</v>
          </cell>
          <cell r="IZ39">
            <v>249</v>
          </cell>
          <cell r="JA39">
            <v>183</v>
          </cell>
          <cell r="JB39">
            <v>179</v>
          </cell>
          <cell r="JC39">
            <v>223</v>
          </cell>
          <cell r="JD39">
            <v>243</v>
          </cell>
          <cell r="JE39">
            <v>256</v>
          </cell>
          <cell r="JF39">
            <v>259</v>
          </cell>
        </row>
        <row r="40">
          <cell r="IU40">
            <v>4</v>
          </cell>
          <cell r="IV40">
            <v>7</v>
          </cell>
          <cell r="IW40">
            <v>6</v>
          </cell>
          <cell r="IX40">
            <v>5</v>
          </cell>
          <cell r="IY40">
            <v>6</v>
          </cell>
          <cell r="IZ40">
            <v>5</v>
          </cell>
          <cell r="JA40">
            <v>5</v>
          </cell>
          <cell r="JB40">
            <v>6</v>
          </cell>
          <cell r="JC40">
            <v>4</v>
          </cell>
          <cell r="JD40">
            <v>5</v>
          </cell>
          <cell r="JE40">
            <v>6</v>
          </cell>
          <cell r="JF40">
            <v>5</v>
          </cell>
        </row>
        <row r="41">
          <cell r="IU41">
            <v>1312</v>
          </cell>
          <cell r="IV41">
            <v>1262</v>
          </cell>
          <cell r="IW41">
            <v>1334</v>
          </cell>
          <cell r="IX41">
            <v>1241</v>
          </cell>
          <cell r="IY41">
            <v>1233</v>
          </cell>
          <cell r="IZ41">
            <v>1294</v>
          </cell>
          <cell r="JA41">
            <v>1358</v>
          </cell>
          <cell r="JB41">
            <v>1223</v>
          </cell>
          <cell r="JC41">
            <v>1254</v>
          </cell>
          <cell r="JD41">
            <v>1479</v>
          </cell>
          <cell r="JE41">
            <v>1536</v>
          </cell>
          <cell r="JF41">
            <v>1465</v>
          </cell>
        </row>
        <row r="42">
          <cell r="IU42">
            <v>4633</v>
          </cell>
          <cell r="IV42">
            <v>4676</v>
          </cell>
          <cell r="IW42">
            <v>4663</v>
          </cell>
          <cell r="IX42">
            <v>4510</v>
          </cell>
          <cell r="IY42">
            <v>4383</v>
          </cell>
          <cell r="IZ42">
            <v>4471</v>
          </cell>
          <cell r="JA42">
            <v>4531</v>
          </cell>
          <cell r="JB42">
            <v>4658</v>
          </cell>
          <cell r="JC42">
            <v>4618</v>
          </cell>
          <cell r="JD42">
            <v>4594</v>
          </cell>
          <cell r="JE42">
            <v>4644</v>
          </cell>
          <cell r="JF42">
            <v>4932</v>
          </cell>
        </row>
        <row r="47">
          <cell r="IU47">
            <v>2696</v>
          </cell>
          <cell r="IV47">
            <v>2436</v>
          </cell>
          <cell r="IW47">
            <v>2421</v>
          </cell>
          <cell r="IX47">
            <v>2229</v>
          </cell>
          <cell r="IY47">
            <v>2152</v>
          </cell>
          <cell r="IZ47">
            <v>2193</v>
          </cell>
          <cell r="JA47">
            <v>2327</v>
          </cell>
          <cell r="JB47">
            <v>2347</v>
          </cell>
          <cell r="JC47">
            <v>2296</v>
          </cell>
          <cell r="JD47">
            <v>2513</v>
          </cell>
          <cell r="JE47">
            <v>2588</v>
          </cell>
          <cell r="JF47">
            <v>2482</v>
          </cell>
        </row>
        <row r="48">
          <cell r="IU48">
            <v>1586</v>
          </cell>
          <cell r="IV48">
            <v>1822</v>
          </cell>
          <cell r="IW48">
            <v>1724</v>
          </cell>
          <cell r="IX48">
            <v>1718</v>
          </cell>
          <cell r="IY48">
            <v>1468</v>
          </cell>
          <cell r="IZ48">
            <v>1590</v>
          </cell>
          <cell r="JA48">
            <v>1459</v>
          </cell>
          <cell r="JB48">
            <v>1456</v>
          </cell>
          <cell r="JC48">
            <v>1470</v>
          </cell>
          <cell r="JD48">
            <v>1564</v>
          </cell>
          <cell r="JE48">
            <v>1551</v>
          </cell>
          <cell r="JF48">
            <v>1617</v>
          </cell>
        </row>
        <row r="49">
          <cell r="IU49">
            <v>917</v>
          </cell>
          <cell r="IV49">
            <v>975</v>
          </cell>
          <cell r="IW49">
            <v>1055</v>
          </cell>
          <cell r="IX49">
            <v>1144</v>
          </cell>
          <cell r="IY49">
            <v>1264</v>
          </cell>
          <cell r="IZ49">
            <v>1168</v>
          </cell>
          <cell r="JA49">
            <v>1221</v>
          </cell>
          <cell r="JB49">
            <v>1013</v>
          </cell>
          <cell r="JC49">
            <v>1101</v>
          </cell>
          <cell r="JD49">
            <v>1000</v>
          </cell>
          <cell r="JE49">
            <v>1034</v>
          </cell>
          <cell r="JF49">
            <v>1081</v>
          </cell>
        </row>
        <row r="50">
          <cell r="IU50">
            <v>689</v>
          </cell>
          <cell r="IV50">
            <v>675</v>
          </cell>
          <cell r="IW50">
            <v>741</v>
          </cell>
          <cell r="IX50">
            <v>729</v>
          </cell>
          <cell r="IY50">
            <v>813</v>
          </cell>
          <cell r="IZ50">
            <v>857</v>
          </cell>
          <cell r="JA50">
            <v>854</v>
          </cell>
          <cell r="JB50">
            <v>998</v>
          </cell>
          <cell r="JC50">
            <v>919</v>
          </cell>
          <cell r="JD50">
            <v>904</v>
          </cell>
          <cell r="JE50">
            <v>827</v>
          </cell>
          <cell r="JF50">
            <v>889</v>
          </cell>
        </row>
        <row r="51">
          <cell r="IU51">
            <v>1381</v>
          </cell>
          <cell r="IV51">
            <v>1424</v>
          </cell>
          <cell r="IW51">
            <v>1441</v>
          </cell>
          <cell r="IX51">
            <v>1476</v>
          </cell>
          <cell r="IY51">
            <v>1496</v>
          </cell>
          <cell r="IZ51">
            <v>1555</v>
          </cell>
          <cell r="JA51">
            <v>1609</v>
          </cell>
          <cell r="JB51">
            <v>1647</v>
          </cell>
          <cell r="JC51">
            <v>1709</v>
          </cell>
          <cell r="JD51">
            <v>1739</v>
          </cell>
          <cell r="JE51">
            <v>1855</v>
          </cell>
          <cell r="JF51">
            <v>1918</v>
          </cell>
        </row>
        <row r="54">
          <cell r="IU54">
            <v>1523</v>
          </cell>
          <cell r="IV54">
            <v>1516</v>
          </cell>
          <cell r="IW54">
            <v>1511</v>
          </cell>
          <cell r="IX54">
            <v>1192</v>
          </cell>
          <cell r="IY54">
            <v>1052</v>
          </cell>
          <cell r="IZ54">
            <v>1171</v>
          </cell>
          <cell r="JA54">
            <v>1271</v>
          </cell>
          <cell r="JB54">
            <v>1021</v>
          </cell>
          <cell r="JC54">
            <v>899</v>
          </cell>
          <cell r="JD54">
            <v>1087</v>
          </cell>
          <cell r="JE54">
            <v>846</v>
          </cell>
          <cell r="JF54">
            <v>995</v>
          </cell>
        </row>
        <row r="55">
          <cell r="IU55">
            <v>1296</v>
          </cell>
          <cell r="IV55">
            <v>1218</v>
          </cell>
          <cell r="IW55">
            <v>1648</v>
          </cell>
          <cell r="IX55">
            <v>1598</v>
          </cell>
          <cell r="IY55">
            <v>1076</v>
          </cell>
          <cell r="IZ55">
            <v>1020</v>
          </cell>
          <cell r="JA55">
            <v>1207</v>
          </cell>
          <cell r="JB55">
            <v>1126</v>
          </cell>
          <cell r="JC55">
            <v>1194</v>
          </cell>
          <cell r="JD55">
            <v>943</v>
          </cell>
          <cell r="JE55">
            <v>981</v>
          </cell>
          <cell r="JF55">
            <v>837</v>
          </cell>
        </row>
        <row r="62">
          <cell r="IU62">
            <v>30</v>
          </cell>
          <cell r="IV62">
            <v>44</v>
          </cell>
          <cell r="IW62">
            <v>47</v>
          </cell>
          <cell r="IX62">
            <v>27</v>
          </cell>
          <cell r="IY62">
            <v>37</v>
          </cell>
          <cell r="IZ62">
            <v>25</v>
          </cell>
          <cell r="JA62">
            <v>19</v>
          </cell>
          <cell r="JB62">
            <v>40</v>
          </cell>
          <cell r="JC62">
            <v>26</v>
          </cell>
          <cell r="JD62">
            <v>26</v>
          </cell>
          <cell r="JE62">
            <v>32</v>
          </cell>
          <cell r="JF62">
            <v>23</v>
          </cell>
        </row>
        <row r="63">
          <cell r="IU63">
            <v>25</v>
          </cell>
          <cell r="IV63">
            <v>37</v>
          </cell>
          <cell r="IW63">
            <v>42</v>
          </cell>
          <cell r="IX63">
            <v>25</v>
          </cell>
          <cell r="IY63">
            <v>36</v>
          </cell>
          <cell r="IZ63">
            <v>22</v>
          </cell>
          <cell r="JA63">
            <v>12</v>
          </cell>
          <cell r="JB63">
            <v>40</v>
          </cell>
          <cell r="JC63">
            <v>26</v>
          </cell>
          <cell r="JD63">
            <v>25</v>
          </cell>
          <cell r="JE63">
            <v>31</v>
          </cell>
          <cell r="JF63">
            <v>19</v>
          </cell>
        </row>
        <row r="64">
          <cell r="IU64">
            <v>624</v>
          </cell>
          <cell r="IV64">
            <v>893</v>
          </cell>
          <cell r="IW64">
            <v>745</v>
          </cell>
          <cell r="IX64">
            <v>727</v>
          </cell>
          <cell r="IY64">
            <v>544</v>
          </cell>
          <cell r="IZ64">
            <v>605</v>
          </cell>
          <cell r="JA64">
            <v>102</v>
          </cell>
          <cell r="JB64">
            <v>873</v>
          </cell>
          <cell r="JC64">
            <v>534</v>
          </cell>
          <cell r="JD64">
            <v>503</v>
          </cell>
          <cell r="JE64">
            <v>706</v>
          </cell>
          <cell r="JF64">
            <v>231</v>
          </cell>
        </row>
      </sheetData>
      <sheetData sheetId="2"/>
      <sheetData sheetId="3">
        <row r="4">
          <cell r="G4">
            <v>149362.15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wertungs Tab"/>
      <sheetName val="Presse"/>
      <sheetName val="Def Region"/>
      <sheetName val="Zeitreihe"/>
      <sheetName val="Hilfsblatt Region"/>
      <sheetName val="Hilfsblatt Alter"/>
      <sheetName val="Hilfsblatt Dauer"/>
      <sheetName val="Jahresschnitte"/>
      <sheetName val="Tabelle2"/>
      <sheetName val="Alter"/>
      <sheetName val="Hilfsdaten"/>
      <sheetName val="Dia Altersgruppen"/>
      <sheetName val="Dia Sex"/>
      <sheetName val="Dia Zu und Abgänge"/>
      <sheetName val="Dia Alter Quote "/>
      <sheetName val="Prog Regionen"/>
      <sheetName val="Dia Alter Quote spez"/>
      <sheetName val="Tabelle4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C4">
            <v>570</v>
          </cell>
          <cell r="D4">
            <v>550</v>
          </cell>
          <cell r="E4">
            <v>494</v>
          </cell>
          <cell r="F4">
            <v>460</v>
          </cell>
          <cell r="G4">
            <v>436</v>
          </cell>
          <cell r="H4">
            <v>508</v>
          </cell>
          <cell r="I4">
            <v>549</v>
          </cell>
          <cell r="J4">
            <v>682</v>
          </cell>
          <cell r="K4">
            <v>567</v>
          </cell>
          <cell r="L4">
            <v>478</v>
          </cell>
          <cell r="M4">
            <v>701</v>
          </cell>
          <cell r="N4">
            <v>510</v>
          </cell>
          <cell r="O4">
            <v>609</v>
          </cell>
          <cell r="P4">
            <v>607</v>
          </cell>
          <cell r="Q4">
            <v>490</v>
          </cell>
          <cell r="R4">
            <v>557</v>
          </cell>
          <cell r="S4">
            <v>441</v>
          </cell>
          <cell r="T4">
            <v>582</v>
          </cell>
          <cell r="U4">
            <v>550</v>
          </cell>
          <cell r="V4">
            <v>686</v>
          </cell>
          <cell r="W4">
            <v>606</v>
          </cell>
          <cell r="X4">
            <v>489</v>
          </cell>
          <cell r="Y4">
            <v>654</v>
          </cell>
          <cell r="Z4">
            <v>415</v>
          </cell>
          <cell r="AA4">
            <v>580</v>
          </cell>
          <cell r="AB4">
            <v>576</v>
          </cell>
          <cell r="AC4">
            <v>533</v>
          </cell>
        </row>
        <row r="5">
          <cell r="C5">
            <v>679</v>
          </cell>
          <cell r="D5">
            <v>798</v>
          </cell>
          <cell r="E5">
            <v>738</v>
          </cell>
          <cell r="F5">
            <v>617</v>
          </cell>
          <cell r="G5">
            <v>528</v>
          </cell>
          <cell r="H5">
            <v>540</v>
          </cell>
          <cell r="I5">
            <v>635</v>
          </cell>
          <cell r="J5">
            <v>682</v>
          </cell>
          <cell r="K5">
            <v>789</v>
          </cell>
          <cell r="L5">
            <v>652</v>
          </cell>
          <cell r="M5">
            <v>634</v>
          </cell>
          <cell r="N5">
            <v>885</v>
          </cell>
          <cell r="O5">
            <v>608</v>
          </cell>
          <cell r="P5">
            <v>723</v>
          </cell>
          <cell r="Q5">
            <v>741</v>
          </cell>
          <cell r="R5">
            <v>598</v>
          </cell>
          <cell r="S5">
            <v>639</v>
          </cell>
          <cell r="T5">
            <v>528</v>
          </cell>
          <cell r="U5">
            <v>662</v>
          </cell>
          <cell r="V5">
            <v>693</v>
          </cell>
          <cell r="W5">
            <v>797</v>
          </cell>
          <cell r="X5">
            <v>668</v>
          </cell>
          <cell r="Y5">
            <v>608</v>
          </cell>
          <cell r="Z5">
            <v>809</v>
          </cell>
          <cell r="AA5">
            <v>544</v>
          </cell>
          <cell r="AB5">
            <v>644</v>
          </cell>
          <cell r="AC5">
            <v>658</v>
          </cell>
        </row>
        <row r="6">
          <cell r="C6">
            <v>827</v>
          </cell>
          <cell r="D6">
            <v>564</v>
          </cell>
          <cell r="E6">
            <v>624</v>
          </cell>
          <cell r="F6">
            <v>678</v>
          </cell>
          <cell r="G6">
            <v>596</v>
          </cell>
          <cell r="H6">
            <v>484</v>
          </cell>
          <cell r="I6">
            <v>550</v>
          </cell>
          <cell r="J6">
            <v>586</v>
          </cell>
          <cell r="K6">
            <v>615</v>
          </cell>
          <cell r="L6">
            <v>744</v>
          </cell>
          <cell r="M6">
            <v>583</v>
          </cell>
          <cell r="N6">
            <v>616</v>
          </cell>
          <cell r="O6">
            <v>815</v>
          </cell>
          <cell r="P6">
            <v>608</v>
          </cell>
          <cell r="Q6">
            <v>634</v>
          </cell>
          <cell r="R6">
            <v>645</v>
          </cell>
          <cell r="S6">
            <v>562</v>
          </cell>
          <cell r="T6">
            <v>556</v>
          </cell>
          <cell r="U6">
            <v>512</v>
          </cell>
          <cell r="V6">
            <v>578</v>
          </cell>
          <cell r="W6">
            <v>626</v>
          </cell>
          <cell r="X6">
            <v>743</v>
          </cell>
          <cell r="Y6">
            <v>619</v>
          </cell>
          <cell r="Z6">
            <v>585</v>
          </cell>
          <cell r="AA6">
            <v>724</v>
          </cell>
          <cell r="AB6">
            <v>519</v>
          </cell>
          <cell r="AC6">
            <v>613</v>
          </cell>
        </row>
        <row r="7">
          <cell r="C7">
            <v>654</v>
          </cell>
          <cell r="D7">
            <v>715</v>
          </cell>
          <cell r="E7">
            <v>554</v>
          </cell>
          <cell r="F7">
            <v>543</v>
          </cell>
          <cell r="G7">
            <v>600</v>
          </cell>
          <cell r="H7">
            <v>513</v>
          </cell>
          <cell r="I7">
            <v>418</v>
          </cell>
          <cell r="J7">
            <v>480</v>
          </cell>
          <cell r="K7">
            <v>512</v>
          </cell>
          <cell r="L7">
            <v>564</v>
          </cell>
          <cell r="M7">
            <v>658</v>
          </cell>
          <cell r="N7">
            <v>499</v>
          </cell>
          <cell r="O7">
            <v>593</v>
          </cell>
          <cell r="P7">
            <v>692</v>
          </cell>
          <cell r="Q7">
            <v>485</v>
          </cell>
          <cell r="R7">
            <v>527</v>
          </cell>
          <cell r="S7">
            <v>579</v>
          </cell>
          <cell r="T7">
            <v>483</v>
          </cell>
          <cell r="U7">
            <v>523</v>
          </cell>
          <cell r="V7">
            <v>440</v>
          </cell>
          <cell r="W7">
            <v>507</v>
          </cell>
          <cell r="X7">
            <v>582</v>
          </cell>
          <cell r="Y7">
            <v>649</v>
          </cell>
          <cell r="Z7">
            <v>531</v>
          </cell>
          <cell r="AA7">
            <v>515</v>
          </cell>
          <cell r="AB7">
            <v>603</v>
          </cell>
          <cell r="AC7">
            <v>397</v>
          </cell>
        </row>
        <row r="8">
          <cell r="C8">
            <v>612</v>
          </cell>
          <cell r="D8">
            <v>585</v>
          </cell>
          <cell r="E8">
            <v>628</v>
          </cell>
          <cell r="F8">
            <v>476</v>
          </cell>
          <cell r="G8">
            <v>495</v>
          </cell>
          <cell r="H8">
            <v>522</v>
          </cell>
          <cell r="I8">
            <v>446</v>
          </cell>
          <cell r="J8">
            <v>410</v>
          </cell>
          <cell r="K8">
            <v>422</v>
          </cell>
          <cell r="L8">
            <v>409</v>
          </cell>
          <cell r="M8">
            <v>484</v>
          </cell>
          <cell r="N8">
            <v>596</v>
          </cell>
          <cell r="O8">
            <v>412</v>
          </cell>
          <cell r="P8">
            <v>456</v>
          </cell>
          <cell r="Q8">
            <v>602</v>
          </cell>
          <cell r="R8">
            <v>412</v>
          </cell>
          <cell r="S8">
            <v>462</v>
          </cell>
          <cell r="T8">
            <v>498</v>
          </cell>
          <cell r="U8">
            <v>397</v>
          </cell>
          <cell r="V8">
            <v>455</v>
          </cell>
          <cell r="W8">
            <v>386</v>
          </cell>
          <cell r="X8">
            <v>436</v>
          </cell>
          <cell r="Y8">
            <v>493</v>
          </cell>
          <cell r="Z8">
            <v>583</v>
          </cell>
          <cell r="AA8">
            <v>509</v>
          </cell>
          <cell r="AB8">
            <v>417</v>
          </cell>
          <cell r="AC8">
            <v>547</v>
          </cell>
        </row>
        <row r="9">
          <cell r="C9">
            <v>570</v>
          </cell>
          <cell r="D9">
            <v>552</v>
          </cell>
          <cell r="E9">
            <v>487</v>
          </cell>
          <cell r="F9">
            <v>538</v>
          </cell>
          <cell r="G9">
            <v>382</v>
          </cell>
          <cell r="H9">
            <v>427</v>
          </cell>
          <cell r="I9">
            <v>430</v>
          </cell>
          <cell r="J9">
            <v>386</v>
          </cell>
          <cell r="K9">
            <v>347</v>
          </cell>
          <cell r="L9">
            <v>364</v>
          </cell>
          <cell r="M9">
            <v>361</v>
          </cell>
          <cell r="N9">
            <v>458</v>
          </cell>
          <cell r="O9">
            <v>536</v>
          </cell>
          <cell r="P9">
            <v>403</v>
          </cell>
          <cell r="Q9">
            <v>425</v>
          </cell>
          <cell r="R9">
            <v>487</v>
          </cell>
          <cell r="S9">
            <v>370</v>
          </cell>
          <cell r="T9">
            <v>405</v>
          </cell>
          <cell r="U9">
            <v>427</v>
          </cell>
          <cell r="V9">
            <v>340</v>
          </cell>
          <cell r="W9">
            <v>395</v>
          </cell>
          <cell r="X9">
            <v>345</v>
          </cell>
          <cell r="Y9">
            <v>367</v>
          </cell>
          <cell r="Z9">
            <v>442</v>
          </cell>
          <cell r="AA9">
            <v>505</v>
          </cell>
          <cell r="AB9">
            <v>429</v>
          </cell>
          <cell r="AC9">
            <v>376</v>
          </cell>
        </row>
        <row r="10">
          <cell r="C10">
            <v>426</v>
          </cell>
          <cell r="D10">
            <v>517</v>
          </cell>
          <cell r="E10">
            <v>476</v>
          </cell>
          <cell r="F10">
            <v>415</v>
          </cell>
          <cell r="G10">
            <v>439</v>
          </cell>
          <cell r="H10">
            <v>323</v>
          </cell>
          <cell r="I10">
            <v>400</v>
          </cell>
          <cell r="J10">
            <v>361</v>
          </cell>
          <cell r="K10">
            <v>331</v>
          </cell>
          <cell r="L10">
            <v>294</v>
          </cell>
          <cell r="M10">
            <v>313</v>
          </cell>
          <cell r="N10">
            <v>312</v>
          </cell>
          <cell r="O10">
            <v>396</v>
          </cell>
          <cell r="P10">
            <v>474</v>
          </cell>
          <cell r="Q10">
            <v>344</v>
          </cell>
          <cell r="R10">
            <v>355</v>
          </cell>
          <cell r="S10">
            <v>427</v>
          </cell>
          <cell r="T10">
            <v>320</v>
          </cell>
          <cell r="U10">
            <v>376</v>
          </cell>
          <cell r="V10">
            <v>365</v>
          </cell>
          <cell r="W10">
            <v>299</v>
          </cell>
          <cell r="X10">
            <v>355</v>
          </cell>
          <cell r="Y10">
            <v>304</v>
          </cell>
          <cell r="Z10">
            <v>364</v>
          </cell>
          <cell r="AA10">
            <v>383</v>
          </cell>
          <cell r="AB10">
            <v>462</v>
          </cell>
          <cell r="AC10">
            <v>359</v>
          </cell>
        </row>
        <row r="11">
          <cell r="C11">
            <v>353</v>
          </cell>
          <cell r="D11">
            <v>350</v>
          </cell>
          <cell r="E11">
            <v>455</v>
          </cell>
          <cell r="F11">
            <v>428</v>
          </cell>
          <cell r="G11">
            <v>407</v>
          </cell>
          <cell r="H11">
            <v>387</v>
          </cell>
          <cell r="I11">
            <v>276</v>
          </cell>
          <cell r="J11">
            <v>381</v>
          </cell>
          <cell r="K11">
            <v>309</v>
          </cell>
          <cell r="L11">
            <v>284</v>
          </cell>
          <cell r="M11">
            <v>265</v>
          </cell>
          <cell r="N11">
            <v>283</v>
          </cell>
          <cell r="O11">
            <v>299</v>
          </cell>
          <cell r="P11">
            <v>353</v>
          </cell>
          <cell r="Q11">
            <v>427</v>
          </cell>
          <cell r="R11">
            <v>296</v>
          </cell>
          <cell r="S11">
            <v>345</v>
          </cell>
          <cell r="T11">
            <v>386</v>
          </cell>
          <cell r="U11">
            <v>264</v>
          </cell>
          <cell r="V11">
            <v>313</v>
          </cell>
          <cell r="W11">
            <v>318</v>
          </cell>
          <cell r="X11">
            <v>284</v>
          </cell>
          <cell r="Y11">
            <v>315</v>
          </cell>
          <cell r="Z11">
            <v>281</v>
          </cell>
          <cell r="AA11">
            <v>335</v>
          </cell>
          <cell r="AB11">
            <v>345</v>
          </cell>
          <cell r="AC11">
            <v>419</v>
          </cell>
        </row>
        <row r="12">
          <cell r="C12">
            <v>297</v>
          </cell>
          <cell r="D12">
            <v>313</v>
          </cell>
          <cell r="E12">
            <v>328</v>
          </cell>
          <cell r="F12">
            <v>405</v>
          </cell>
          <cell r="G12">
            <v>353</v>
          </cell>
          <cell r="H12">
            <v>347</v>
          </cell>
          <cell r="I12">
            <v>346</v>
          </cell>
          <cell r="J12">
            <v>239</v>
          </cell>
          <cell r="K12">
            <v>348</v>
          </cell>
          <cell r="L12">
            <v>270</v>
          </cell>
          <cell r="M12">
            <v>257</v>
          </cell>
          <cell r="N12">
            <v>260</v>
          </cell>
          <cell r="O12">
            <v>241</v>
          </cell>
          <cell r="P12">
            <v>268</v>
          </cell>
          <cell r="Q12">
            <v>336</v>
          </cell>
          <cell r="R12">
            <v>392</v>
          </cell>
          <cell r="S12">
            <v>268</v>
          </cell>
          <cell r="T12">
            <v>316</v>
          </cell>
          <cell r="U12">
            <v>336</v>
          </cell>
          <cell r="V12">
            <v>257</v>
          </cell>
          <cell r="W12">
            <v>275</v>
          </cell>
          <cell r="X12">
            <v>284</v>
          </cell>
          <cell r="Y12">
            <v>240</v>
          </cell>
          <cell r="Z12">
            <v>279</v>
          </cell>
          <cell r="AA12">
            <v>247</v>
          </cell>
          <cell r="AB12">
            <v>262</v>
          </cell>
          <cell r="AC12">
            <v>311</v>
          </cell>
        </row>
        <row r="13">
          <cell r="C13">
            <v>261</v>
          </cell>
          <cell r="D13">
            <v>277</v>
          </cell>
          <cell r="E13">
            <v>274</v>
          </cell>
          <cell r="F13">
            <v>304</v>
          </cell>
          <cell r="G13">
            <v>379</v>
          </cell>
          <cell r="H13">
            <v>321</v>
          </cell>
          <cell r="I13">
            <v>321</v>
          </cell>
          <cell r="J13">
            <v>300</v>
          </cell>
          <cell r="K13">
            <v>210</v>
          </cell>
          <cell r="L13">
            <v>295</v>
          </cell>
          <cell r="M13">
            <v>249</v>
          </cell>
          <cell r="N13">
            <v>246</v>
          </cell>
          <cell r="O13">
            <v>230</v>
          </cell>
          <cell r="P13">
            <v>234</v>
          </cell>
          <cell r="Q13">
            <v>227</v>
          </cell>
          <cell r="R13">
            <v>300</v>
          </cell>
          <cell r="S13">
            <v>360</v>
          </cell>
          <cell r="T13">
            <v>254</v>
          </cell>
          <cell r="U13">
            <v>294</v>
          </cell>
          <cell r="V13">
            <v>279</v>
          </cell>
          <cell r="W13">
            <v>223</v>
          </cell>
          <cell r="X13">
            <v>246</v>
          </cell>
          <cell r="Y13">
            <v>255</v>
          </cell>
          <cell r="Z13">
            <v>229</v>
          </cell>
          <cell r="AA13">
            <v>240</v>
          </cell>
          <cell r="AB13">
            <v>229</v>
          </cell>
          <cell r="AC13">
            <v>245</v>
          </cell>
        </row>
        <row r="14">
          <cell r="C14">
            <v>260</v>
          </cell>
          <cell r="D14">
            <v>238</v>
          </cell>
          <cell r="E14">
            <v>255</v>
          </cell>
          <cell r="F14">
            <v>253</v>
          </cell>
          <cell r="G14">
            <v>289</v>
          </cell>
          <cell r="H14">
            <v>345</v>
          </cell>
          <cell r="I14">
            <v>264</v>
          </cell>
          <cell r="J14">
            <v>283</v>
          </cell>
          <cell r="K14">
            <v>277</v>
          </cell>
          <cell r="L14">
            <v>208</v>
          </cell>
          <cell r="M14">
            <v>260</v>
          </cell>
          <cell r="N14">
            <v>219</v>
          </cell>
          <cell r="O14">
            <v>233</v>
          </cell>
          <cell r="P14">
            <v>208</v>
          </cell>
          <cell r="Q14">
            <v>198</v>
          </cell>
          <cell r="R14">
            <v>208</v>
          </cell>
          <cell r="S14">
            <v>273</v>
          </cell>
          <cell r="T14">
            <v>315</v>
          </cell>
          <cell r="U14">
            <v>250</v>
          </cell>
          <cell r="V14">
            <v>265</v>
          </cell>
          <cell r="W14">
            <v>254</v>
          </cell>
          <cell r="X14">
            <v>216</v>
          </cell>
          <cell r="Y14">
            <v>223</v>
          </cell>
          <cell r="Z14">
            <v>230</v>
          </cell>
          <cell r="AA14">
            <v>216</v>
          </cell>
          <cell r="AB14">
            <v>239</v>
          </cell>
          <cell r="AC14">
            <v>211</v>
          </cell>
        </row>
        <row r="15">
          <cell r="C15">
            <v>304</v>
          </cell>
          <cell r="D15">
            <v>302</v>
          </cell>
          <cell r="E15">
            <v>253</v>
          </cell>
          <cell r="F15">
            <v>278</v>
          </cell>
          <cell r="G15">
            <v>296</v>
          </cell>
          <cell r="H15">
            <v>303</v>
          </cell>
          <cell r="I15">
            <v>365</v>
          </cell>
          <cell r="J15">
            <v>332</v>
          </cell>
          <cell r="K15">
            <v>294</v>
          </cell>
          <cell r="L15">
            <v>277</v>
          </cell>
          <cell r="M15">
            <v>220</v>
          </cell>
          <cell r="N15">
            <v>275</v>
          </cell>
          <cell r="O15">
            <v>249</v>
          </cell>
          <cell r="P15">
            <v>249</v>
          </cell>
          <cell r="Q15">
            <v>228</v>
          </cell>
          <cell r="R15">
            <v>229</v>
          </cell>
          <cell r="S15">
            <v>259</v>
          </cell>
          <cell r="T15">
            <v>289</v>
          </cell>
          <cell r="U15">
            <v>315</v>
          </cell>
          <cell r="V15">
            <v>264</v>
          </cell>
          <cell r="W15">
            <v>280</v>
          </cell>
          <cell r="X15">
            <v>297</v>
          </cell>
          <cell r="Y15">
            <v>247</v>
          </cell>
          <cell r="Z15">
            <v>258</v>
          </cell>
          <cell r="AA15">
            <v>245</v>
          </cell>
          <cell r="AB15">
            <v>232</v>
          </cell>
          <cell r="AC15">
            <v>236</v>
          </cell>
        </row>
        <row r="16">
          <cell r="C16">
            <v>1561</v>
          </cell>
          <cell r="D16">
            <v>1609</v>
          </cell>
          <cell r="E16">
            <v>1634</v>
          </cell>
          <cell r="F16">
            <v>1650</v>
          </cell>
          <cell r="G16">
            <v>1605</v>
          </cell>
          <cell r="H16">
            <v>1650</v>
          </cell>
          <cell r="I16">
            <v>1698</v>
          </cell>
          <cell r="J16">
            <v>1749</v>
          </cell>
          <cell r="K16">
            <v>1745</v>
          </cell>
          <cell r="L16">
            <v>1699</v>
          </cell>
          <cell r="M16">
            <v>1701</v>
          </cell>
          <cell r="N16">
            <v>1690</v>
          </cell>
          <cell r="O16">
            <v>1668</v>
          </cell>
          <cell r="P16">
            <v>1660</v>
          </cell>
          <cell r="Q16">
            <v>1627</v>
          </cell>
          <cell r="R16">
            <v>1580</v>
          </cell>
          <cell r="S16">
            <v>1571</v>
          </cell>
          <cell r="T16">
            <v>1531</v>
          </cell>
          <cell r="U16">
            <v>1555</v>
          </cell>
          <cell r="V16">
            <v>1563</v>
          </cell>
          <cell r="W16">
            <v>1448</v>
          </cell>
          <cell r="X16">
            <v>1459</v>
          </cell>
          <cell r="Y16">
            <v>1469</v>
          </cell>
          <cell r="Z16">
            <v>1478</v>
          </cell>
          <cell r="AA16">
            <v>1484</v>
          </cell>
          <cell r="AB16">
            <v>1461</v>
          </cell>
          <cell r="AC16">
            <v>1463</v>
          </cell>
        </row>
        <row r="17">
          <cell r="C17">
            <v>235</v>
          </cell>
          <cell r="D17">
            <v>243</v>
          </cell>
          <cell r="E17">
            <v>251</v>
          </cell>
          <cell r="F17">
            <v>257</v>
          </cell>
          <cell r="G17">
            <v>264</v>
          </cell>
          <cell r="H17">
            <v>267</v>
          </cell>
          <cell r="I17">
            <v>254</v>
          </cell>
          <cell r="J17">
            <v>259</v>
          </cell>
          <cell r="K17">
            <v>267</v>
          </cell>
          <cell r="L17">
            <v>287</v>
          </cell>
          <cell r="M17">
            <v>324</v>
          </cell>
          <cell r="N17">
            <v>339</v>
          </cell>
          <cell r="O17">
            <v>327</v>
          </cell>
          <cell r="P17">
            <v>358</v>
          </cell>
          <cell r="Q17">
            <v>367</v>
          </cell>
          <cell r="R17">
            <v>367</v>
          </cell>
          <cell r="S17">
            <v>371</v>
          </cell>
          <cell r="T17">
            <v>384</v>
          </cell>
          <cell r="U17">
            <v>375</v>
          </cell>
          <cell r="V17">
            <v>378</v>
          </cell>
          <cell r="W17">
            <v>407</v>
          </cell>
          <cell r="X17">
            <v>415</v>
          </cell>
          <cell r="Y17">
            <v>425</v>
          </cell>
          <cell r="Z17">
            <v>399</v>
          </cell>
          <cell r="AA17">
            <v>393</v>
          </cell>
          <cell r="AB17">
            <v>366</v>
          </cell>
          <cell r="AC17">
            <v>346</v>
          </cell>
        </row>
        <row r="18">
          <cell r="C18">
            <v>33</v>
          </cell>
          <cell r="D18">
            <v>38</v>
          </cell>
          <cell r="E18">
            <v>43</v>
          </cell>
          <cell r="F18">
            <v>46</v>
          </cell>
          <cell r="G18">
            <v>50</v>
          </cell>
          <cell r="H18">
            <v>51</v>
          </cell>
          <cell r="I18">
            <v>55</v>
          </cell>
          <cell r="J18">
            <v>56</v>
          </cell>
          <cell r="K18">
            <v>54</v>
          </cell>
          <cell r="L18">
            <v>62</v>
          </cell>
          <cell r="M18">
            <v>67</v>
          </cell>
          <cell r="N18">
            <v>69</v>
          </cell>
          <cell r="O18">
            <v>71</v>
          </cell>
          <cell r="P18">
            <v>72</v>
          </cell>
          <cell r="Q18">
            <v>75</v>
          </cell>
          <cell r="R18">
            <v>81</v>
          </cell>
          <cell r="S18">
            <v>84</v>
          </cell>
          <cell r="T18">
            <v>79</v>
          </cell>
          <cell r="U18">
            <v>82</v>
          </cell>
          <cell r="V18">
            <v>88</v>
          </cell>
          <cell r="W18">
            <v>93</v>
          </cell>
          <cell r="X18">
            <v>94</v>
          </cell>
          <cell r="Y18">
            <v>100</v>
          </cell>
          <cell r="Z18">
            <v>110</v>
          </cell>
          <cell r="AA18">
            <v>103</v>
          </cell>
          <cell r="AB18">
            <v>115</v>
          </cell>
          <cell r="AC18">
            <v>113</v>
          </cell>
        </row>
        <row r="19">
          <cell r="C19">
            <v>12</v>
          </cell>
          <cell r="D19">
            <v>9</v>
          </cell>
          <cell r="E19">
            <v>8</v>
          </cell>
          <cell r="F19">
            <v>7</v>
          </cell>
          <cell r="G19">
            <v>7</v>
          </cell>
          <cell r="H19">
            <v>9</v>
          </cell>
          <cell r="I19">
            <v>8</v>
          </cell>
          <cell r="J19">
            <v>12</v>
          </cell>
          <cell r="K19">
            <v>10</v>
          </cell>
          <cell r="L19">
            <v>10</v>
          </cell>
          <cell r="M19">
            <v>10</v>
          </cell>
          <cell r="N19">
            <v>12</v>
          </cell>
          <cell r="O19">
            <v>16</v>
          </cell>
          <cell r="P19">
            <v>19</v>
          </cell>
          <cell r="Q19">
            <v>17</v>
          </cell>
          <cell r="R19">
            <v>17</v>
          </cell>
          <cell r="S19">
            <v>20</v>
          </cell>
          <cell r="T19">
            <v>20</v>
          </cell>
          <cell r="U19">
            <v>22</v>
          </cell>
          <cell r="V19">
            <v>22</v>
          </cell>
          <cell r="W19">
            <v>24</v>
          </cell>
          <cell r="X19">
            <v>30</v>
          </cell>
          <cell r="Y19">
            <v>32</v>
          </cell>
          <cell r="Z19">
            <v>35</v>
          </cell>
          <cell r="AA19">
            <v>37</v>
          </cell>
          <cell r="AB19">
            <v>38</v>
          </cell>
          <cell r="AC19">
            <v>39</v>
          </cell>
        </row>
        <row r="20">
          <cell r="C20">
            <v>5</v>
          </cell>
          <cell r="D20">
            <v>7</v>
          </cell>
          <cell r="E20">
            <v>7</v>
          </cell>
          <cell r="F20">
            <v>6</v>
          </cell>
          <cell r="G20">
            <v>6</v>
          </cell>
          <cell r="H20">
            <v>6</v>
          </cell>
          <cell r="I20">
            <v>7</v>
          </cell>
          <cell r="J20">
            <v>8</v>
          </cell>
          <cell r="K20">
            <v>9</v>
          </cell>
          <cell r="L20">
            <v>6</v>
          </cell>
          <cell r="M20">
            <v>7</v>
          </cell>
          <cell r="N20">
            <v>6</v>
          </cell>
          <cell r="O20">
            <v>5</v>
          </cell>
          <cell r="P20">
            <v>4</v>
          </cell>
          <cell r="Q20">
            <v>3</v>
          </cell>
          <cell r="R20">
            <v>3</v>
          </cell>
          <cell r="S20">
            <v>3</v>
          </cell>
          <cell r="T20">
            <v>4</v>
          </cell>
          <cell r="U20">
            <v>3</v>
          </cell>
          <cell r="V20">
            <v>4</v>
          </cell>
          <cell r="W20">
            <v>3</v>
          </cell>
          <cell r="X20">
            <v>3</v>
          </cell>
          <cell r="Y20">
            <v>3</v>
          </cell>
          <cell r="Z20">
            <v>4</v>
          </cell>
          <cell r="AA20">
            <v>8</v>
          </cell>
          <cell r="AB20">
            <v>9</v>
          </cell>
          <cell r="AC20">
            <v>9</v>
          </cell>
        </row>
        <row r="21">
          <cell r="C21">
            <v>3</v>
          </cell>
          <cell r="D21">
            <v>2</v>
          </cell>
          <cell r="E21">
            <v>2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2</v>
          </cell>
          <cell r="M21">
            <v>2</v>
          </cell>
          <cell r="N21">
            <v>3</v>
          </cell>
          <cell r="O21">
            <v>4</v>
          </cell>
          <cell r="P21">
            <v>5</v>
          </cell>
          <cell r="Q21">
            <v>5</v>
          </cell>
          <cell r="R21">
            <v>4</v>
          </cell>
          <cell r="S21">
            <v>3</v>
          </cell>
          <cell r="T21">
            <v>3</v>
          </cell>
          <cell r="U21">
            <v>4</v>
          </cell>
          <cell r="V21">
            <v>4</v>
          </cell>
          <cell r="W21">
            <v>4</v>
          </cell>
          <cell r="X21">
            <v>3</v>
          </cell>
          <cell r="Y21">
            <v>3</v>
          </cell>
          <cell r="Z21">
            <v>2</v>
          </cell>
          <cell r="AA21">
            <v>1</v>
          </cell>
          <cell r="AB21">
            <v>1</v>
          </cell>
          <cell r="AC21">
            <v>1</v>
          </cell>
        </row>
        <row r="22">
          <cell r="C22">
            <v>2</v>
          </cell>
          <cell r="D22">
            <v>3</v>
          </cell>
          <cell r="E22">
            <v>3</v>
          </cell>
          <cell r="F22">
            <v>4</v>
          </cell>
          <cell r="G22">
            <v>4</v>
          </cell>
          <cell r="H22">
            <v>4</v>
          </cell>
          <cell r="I22">
            <v>4</v>
          </cell>
          <cell r="J22">
            <v>4</v>
          </cell>
          <cell r="K22">
            <v>3</v>
          </cell>
          <cell r="L22">
            <v>3</v>
          </cell>
          <cell r="M22">
            <v>2</v>
          </cell>
          <cell r="N22">
            <v>2</v>
          </cell>
          <cell r="O22">
            <v>2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  <cell r="X22">
            <v>2</v>
          </cell>
          <cell r="Y22">
            <v>3</v>
          </cell>
          <cell r="Z22">
            <v>3</v>
          </cell>
          <cell r="AA22">
            <v>3</v>
          </cell>
          <cell r="AB22">
            <v>3</v>
          </cell>
          <cell r="AC22">
            <v>3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2</v>
          </cell>
          <cell r="L23">
            <v>2</v>
          </cell>
          <cell r="M23">
            <v>2</v>
          </cell>
          <cell r="N23">
            <v>2</v>
          </cell>
          <cell r="O23">
            <v>2</v>
          </cell>
          <cell r="P23">
            <v>3</v>
          </cell>
          <cell r="Q23">
            <v>2</v>
          </cell>
          <cell r="R23">
            <v>3</v>
          </cell>
          <cell r="S23">
            <v>3</v>
          </cell>
          <cell r="T23">
            <v>2</v>
          </cell>
          <cell r="U23">
            <v>2</v>
          </cell>
          <cell r="V23">
            <v>2</v>
          </cell>
          <cell r="W23">
            <v>2</v>
          </cell>
          <cell r="X23">
            <v>2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</v>
          </cell>
          <cell r="Z24">
            <v>1</v>
          </cell>
          <cell r="AA24">
            <v>1</v>
          </cell>
          <cell r="AB24">
            <v>2</v>
          </cell>
          <cell r="AC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1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</row>
      </sheetData>
      <sheetData sheetId="9" refreshError="1">
        <row r="16">
          <cell r="Q16">
            <v>3999</v>
          </cell>
        </row>
        <row r="31">
          <cell r="Q31">
            <v>3236</v>
          </cell>
        </row>
        <row r="35">
          <cell r="Q35">
            <v>534</v>
          </cell>
        </row>
        <row r="38">
          <cell r="Q38">
            <v>817</v>
          </cell>
        </row>
        <row r="39">
          <cell r="Q39">
            <v>836</v>
          </cell>
        </row>
        <row r="40">
          <cell r="Q40">
            <v>854</v>
          </cell>
        </row>
        <row r="41">
          <cell r="Q41">
            <v>746</v>
          </cell>
        </row>
        <row r="42">
          <cell r="Q42">
            <v>630</v>
          </cell>
        </row>
        <row r="43">
          <cell r="Q43">
            <v>556</v>
          </cell>
        </row>
        <row r="44">
          <cell r="Q44">
            <v>358</v>
          </cell>
        </row>
        <row r="45">
          <cell r="Q45">
            <v>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HW3">
            <v>5442</v>
          </cell>
          <cell r="HX3">
            <v>5447</v>
          </cell>
          <cell r="HY3">
            <v>5315</v>
          </cell>
          <cell r="HZ3">
            <v>5110</v>
          </cell>
          <cell r="IA3">
            <v>5001</v>
          </cell>
          <cell r="IB3">
            <v>4920</v>
          </cell>
          <cell r="IC3">
            <v>5008</v>
          </cell>
          <cell r="ID3">
            <v>4998</v>
          </cell>
          <cell r="IE3">
            <v>4936</v>
          </cell>
          <cell r="IF3">
            <v>5090</v>
          </cell>
          <cell r="IG3">
            <v>5408</v>
          </cell>
          <cell r="IH3">
            <v>5531</v>
          </cell>
        </row>
        <row r="4">
          <cell r="HW4">
            <v>3149</v>
          </cell>
          <cell r="HX4">
            <v>3107</v>
          </cell>
          <cell r="HY4">
            <v>2984</v>
          </cell>
          <cell r="HZ4">
            <v>2870</v>
          </cell>
          <cell r="IA4">
            <v>2792</v>
          </cell>
          <cell r="IB4">
            <v>2642</v>
          </cell>
          <cell r="IC4">
            <v>2731</v>
          </cell>
          <cell r="ID4">
            <v>2855</v>
          </cell>
          <cell r="IE4">
            <v>2817</v>
          </cell>
          <cell r="IF4">
            <v>2815</v>
          </cell>
          <cell r="IG4">
            <v>2963</v>
          </cell>
          <cell r="IH4">
            <v>3295</v>
          </cell>
        </row>
        <row r="5">
          <cell r="HW5">
            <v>2945</v>
          </cell>
          <cell r="HX5">
            <v>2936</v>
          </cell>
          <cell r="HY5">
            <v>2853</v>
          </cell>
          <cell r="HZ5">
            <v>2743</v>
          </cell>
          <cell r="IA5">
            <v>2698</v>
          </cell>
          <cell r="IB5">
            <v>2620</v>
          </cell>
          <cell r="IC5">
            <v>2671</v>
          </cell>
          <cell r="ID5">
            <v>2670</v>
          </cell>
          <cell r="IE5">
            <v>2626</v>
          </cell>
          <cell r="IF5">
            <v>2771</v>
          </cell>
          <cell r="IG5">
            <v>2982</v>
          </cell>
          <cell r="IH5">
            <v>3086</v>
          </cell>
        </row>
        <row r="6">
          <cell r="HW6">
            <v>2497</v>
          </cell>
          <cell r="HX6">
            <v>2511</v>
          </cell>
          <cell r="HY6">
            <v>2462</v>
          </cell>
          <cell r="HZ6">
            <v>2367</v>
          </cell>
          <cell r="IA6">
            <v>2303</v>
          </cell>
          <cell r="IB6">
            <v>2300</v>
          </cell>
          <cell r="IC6">
            <v>2337</v>
          </cell>
          <cell r="ID6">
            <v>2328</v>
          </cell>
          <cell r="IE6">
            <v>2310</v>
          </cell>
          <cell r="IF6">
            <v>2319</v>
          </cell>
          <cell r="IG6">
            <v>2426</v>
          </cell>
          <cell r="IH6">
            <v>2445</v>
          </cell>
        </row>
        <row r="7">
          <cell r="HW7">
            <v>2571</v>
          </cell>
          <cell r="HX7">
            <v>2549</v>
          </cell>
          <cell r="HY7">
            <v>2515</v>
          </cell>
          <cell r="HZ7">
            <v>2422</v>
          </cell>
          <cell r="IA7">
            <v>2350</v>
          </cell>
          <cell r="IB7">
            <v>2326</v>
          </cell>
          <cell r="IC7">
            <v>2429</v>
          </cell>
          <cell r="ID7">
            <v>2386</v>
          </cell>
          <cell r="IE7">
            <v>2329</v>
          </cell>
          <cell r="IF7">
            <v>2365</v>
          </cell>
          <cell r="IG7">
            <v>2495</v>
          </cell>
          <cell r="IH7">
            <v>2530</v>
          </cell>
        </row>
        <row r="8">
          <cell r="HW8">
            <v>2871</v>
          </cell>
          <cell r="HX8">
            <v>2898</v>
          </cell>
          <cell r="HY8">
            <v>2800</v>
          </cell>
          <cell r="HZ8">
            <v>2688</v>
          </cell>
          <cell r="IA8">
            <v>2651</v>
          </cell>
          <cell r="IB8">
            <v>2594</v>
          </cell>
          <cell r="IC8">
            <v>2579</v>
          </cell>
          <cell r="ID8">
            <v>2612</v>
          </cell>
          <cell r="IE8">
            <v>2607</v>
          </cell>
          <cell r="IF8">
            <v>2725</v>
          </cell>
          <cell r="IG8">
            <v>2913</v>
          </cell>
          <cell r="IH8">
            <v>3001</v>
          </cell>
        </row>
        <row r="10">
          <cell r="HW10">
            <v>156</v>
          </cell>
          <cell r="HX10">
            <v>164</v>
          </cell>
          <cell r="HY10">
            <v>155</v>
          </cell>
          <cell r="HZ10">
            <v>152</v>
          </cell>
          <cell r="IA10">
            <v>143</v>
          </cell>
          <cell r="IB10">
            <v>138</v>
          </cell>
          <cell r="IC10">
            <v>176</v>
          </cell>
          <cell r="ID10">
            <v>173</v>
          </cell>
          <cell r="IE10">
            <v>165</v>
          </cell>
          <cell r="IF10">
            <v>179</v>
          </cell>
          <cell r="IG10">
            <v>187</v>
          </cell>
          <cell r="IH10">
            <v>188</v>
          </cell>
        </row>
        <row r="11">
          <cell r="HW11">
            <v>330</v>
          </cell>
          <cell r="HX11">
            <v>353</v>
          </cell>
          <cell r="HY11">
            <v>373</v>
          </cell>
          <cell r="HZ11">
            <v>343</v>
          </cell>
          <cell r="IA11">
            <v>346</v>
          </cell>
          <cell r="IB11">
            <v>358</v>
          </cell>
          <cell r="IC11">
            <v>363</v>
          </cell>
          <cell r="ID11">
            <v>355</v>
          </cell>
          <cell r="IE11">
            <v>344</v>
          </cell>
          <cell r="IF11">
            <v>361</v>
          </cell>
          <cell r="IG11">
            <v>375</v>
          </cell>
          <cell r="IH11">
            <v>402</v>
          </cell>
        </row>
        <row r="12">
          <cell r="HW12">
            <v>613</v>
          </cell>
          <cell r="HX12">
            <v>603</v>
          </cell>
          <cell r="HY12">
            <v>574</v>
          </cell>
          <cell r="HZ12">
            <v>545</v>
          </cell>
          <cell r="IA12">
            <v>519</v>
          </cell>
          <cell r="IB12">
            <v>532</v>
          </cell>
          <cell r="IC12">
            <v>569</v>
          </cell>
          <cell r="ID12">
            <v>575</v>
          </cell>
          <cell r="IE12">
            <v>568</v>
          </cell>
          <cell r="IF12">
            <v>593</v>
          </cell>
          <cell r="IG12">
            <v>631</v>
          </cell>
          <cell r="IH12">
            <v>658</v>
          </cell>
        </row>
        <row r="13">
          <cell r="HW13">
            <v>1386</v>
          </cell>
          <cell r="HX13">
            <v>1354</v>
          </cell>
          <cell r="HY13">
            <v>1341</v>
          </cell>
          <cell r="HZ13">
            <v>1312</v>
          </cell>
          <cell r="IA13">
            <v>1311</v>
          </cell>
          <cell r="IB13">
            <v>1299</v>
          </cell>
          <cell r="IC13">
            <v>1314</v>
          </cell>
          <cell r="ID13">
            <v>1302</v>
          </cell>
          <cell r="IE13">
            <v>1285</v>
          </cell>
          <cell r="IF13">
            <v>1279</v>
          </cell>
          <cell r="IG13">
            <v>1365</v>
          </cell>
          <cell r="IH13">
            <v>1377</v>
          </cell>
        </row>
        <row r="14">
          <cell r="HW14">
            <v>1130</v>
          </cell>
          <cell r="HX14">
            <v>1153</v>
          </cell>
          <cell r="HY14">
            <v>1103</v>
          </cell>
          <cell r="HZ14">
            <v>1059</v>
          </cell>
          <cell r="IA14">
            <v>1021</v>
          </cell>
          <cell r="IB14">
            <v>987</v>
          </cell>
          <cell r="IC14">
            <v>983</v>
          </cell>
          <cell r="ID14">
            <v>1001</v>
          </cell>
          <cell r="IE14">
            <v>1001</v>
          </cell>
          <cell r="IF14">
            <v>1047</v>
          </cell>
          <cell r="IG14">
            <v>1101</v>
          </cell>
          <cell r="IH14">
            <v>1137</v>
          </cell>
        </row>
        <row r="15">
          <cell r="HW15">
            <v>1167</v>
          </cell>
          <cell r="HX15">
            <v>1152</v>
          </cell>
          <cell r="HY15">
            <v>1103</v>
          </cell>
          <cell r="HZ15">
            <v>1055</v>
          </cell>
          <cell r="IA15">
            <v>1023</v>
          </cell>
          <cell r="IB15">
            <v>993</v>
          </cell>
          <cell r="IC15">
            <v>985</v>
          </cell>
          <cell r="ID15">
            <v>980</v>
          </cell>
          <cell r="IE15">
            <v>981</v>
          </cell>
          <cell r="IF15">
            <v>1036</v>
          </cell>
          <cell r="IG15">
            <v>1154</v>
          </cell>
          <cell r="IH15">
            <v>1178</v>
          </cell>
        </row>
        <row r="16">
          <cell r="HW16">
            <v>660</v>
          </cell>
          <cell r="HX16">
            <v>668</v>
          </cell>
          <cell r="HY16">
            <v>666</v>
          </cell>
          <cell r="HZ16">
            <v>644</v>
          </cell>
          <cell r="IA16">
            <v>638</v>
          </cell>
          <cell r="IB16">
            <v>613</v>
          </cell>
          <cell r="IC16">
            <v>618</v>
          </cell>
          <cell r="ID16">
            <v>612</v>
          </cell>
          <cell r="IE16">
            <v>592</v>
          </cell>
          <cell r="IF16">
            <v>595</v>
          </cell>
          <cell r="IG16">
            <v>595</v>
          </cell>
          <cell r="IH16">
            <v>591</v>
          </cell>
        </row>
        <row r="19">
          <cell r="HW19">
            <v>964</v>
          </cell>
          <cell r="HX19">
            <v>923</v>
          </cell>
          <cell r="HY19">
            <v>933</v>
          </cell>
          <cell r="HZ19">
            <v>883</v>
          </cell>
          <cell r="IA19">
            <v>872</v>
          </cell>
          <cell r="IB19">
            <v>812</v>
          </cell>
          <cell r="IC19">
            <v>847</v>
          </cell>
          <cell r="ID19">
            <v>892</v>
          </cell>
          <cell r="IE19">
            <v>890</v>
          </cell>
          <cell r="IF19">
            <v>890</v>
          </cell>
          <cell r="IG19">
            <v>900</v>
          </cell>
          <cell r="IH19">
            <v>985</v>
          </cell>
        </row>
        <row r="20">
          <cell r="HW20">
            <v>408</v>
          </cell>
          <cell r="HX20">
            <v>397</v>
          </cell>
          <cell r="HY20">
            <v>364</v>
          </cell>
          <cell r="HZ20">
            <v>356</v>
          </cell>
          <cell r="IA20">
            <v>317</v>
          </cell>
          <cell r="IB20">
            <v>308</v>
          </cell>
          <cell r="IC20">
            <v>317</v>
          </cell>
          <cell r="ID20">
            <v>332</v>
          </cell>
          <cell r="IE20">
            <v>323</v>
          </cell>
          <cell r="IF20">
            <v>357</v>
          </cell>
          <cell r="IG20">
            <v>382</v>
          </cell>
          <cell r="IH20">
            <v>437</v>
          </cell>
        </row>
        <row r="21">
          <cell r="HW21">
            <v>1344</v>
          </cell>
          <cell r="HX21">
            <v>1359</v>
          </cell>
          <cell r="HY21">
            <v>1292</v>
          </cell>
          <cell r="HZ21">
            <v>1243</v>
          </cell>
          <cell r="IA21">
            <v>1217</v>
          </cell>
          <cell r="IB21">
            <v>1140</v>
          </cell>
          <cell r="IC21">
            <v>1169</v>
          </cell>
          <cell r="ID21">
            <v>1199</v>
          </cell>
          <cell r="IE21">
            <v>1182</v>
          </cell>
          <cell r="IF21">
            <v>1145</v>
          </cell>
          <cell r="IG21">
            <v>1234</v>
          </cell>
          <cell r="IH21">
            <v>1385</v>
          </cell>
        </row>
        <row r="22">
          <cell r="HW22">
            <v>152</v>
          </cell>
          <cell r="HX22">
            <v>141</v>
          </cell>
          <cell r="HY22">
            <v>132</v>
          </cell>
          <cell r="HZ22">
            <v>129</v>
          </cell>
          <cell r="IA22">
            <v>131</v>
          </cell>
          <cell r="IB22">
            <v>137</v>
          </cell>
          <cell r="IC22">
            <v>132</v>
          </cell>
          <cell r="ID22">
            <v>133</v>
          </cell>
          <cell r="IE22">
            <v>138</v>
          </cell>
          <cell r="IF22">
            <v>135</v>
          </cell>
          <cell r="IG22">
            <v>148</v>
          </cell>
          <cell r="IH22">
            <v>162</v>
          </cell>
        </row>
        <row r="23">
          <cell r="HW23">
            <v>281</v>
          </cell>
          <cell r="HX23">
            <v>287</v>
          </cell>
          <cell r="HY23">
            <v>263</v>
          </cell>
          <cell r="HZ23">
            <v>259</v>
          </cell>
          <cell r="IA23">
            <v>255</v>
          </cell>
          <cell r="IB23">
            <v>245</v>
          </cell>
          <cell r="IC23">
            <v>266</v>
          </cell>
          <cell r="ID23">
            <v>299</v>
          </cell>
          <cell r="IE23">
            <v>284</v>
          </cell>
          <cell r="IF23">
            <v>288</v>
          </cell>
          <cell r="IG23">
            <v>299</v>
          </cell>
          <cell r="IH23">
            <v>326</v>
          </cell>
        </row>
        <row r="26">
          <cell r="HW26">
            <v>1634</v>
          </cell>
          <cell r="HX26">
            <v>1661</v>
          </cell>
          <cell r="HY26">
            <v>1647</v>
          </cell>
          <cell r="HZ26">
            <v>1582</v>
          </cell>
          <cell r="IA26">
            <v>1575</v>
          </cell>
          <cell r="IB26">
            <v>1555</v>
          </cell>
          <cell r="IC26">
            <v>1579</v>
          </cell>
          <cell r="ID26">
            <v>1595</v>
          </cell>
          <cell r="IE26">
            <v>1577</v>
          </cell>
          <cell r="IF26">
            <v>1601</v>
          </cell>
          <cell r="IG26">
            <v>1661</v>
          </cell>
          <cell r="IH26">
            <v>1695</v>
          </cell>
        </row>
        <row r="27">
          <cell r="HW27">
            <v>694</v>
          </cell>
          <cell r="HX27">
            <v>672</v>
          </cell>
          <cell r="HY27">
            <v>641</v>
          </cell>
          <cell r="HZ27">
            <v>598</v>
          </cell>
          <cell r="IA27">
            <v>566</v>
          </cell>
          <cell r="IB27">
            <v>559</v>
          </cell>
          <cell r="IC27">
            <v>569</v>
          </cell>
          <cell r="ID27">
            <v>579</v>
          </cell>
          <cell r="IE27">
            <v>586</v>
          </cell>
          <cell r="IF27">
            <v>614</v>
          </cell>
          <cell r="IG27">
            <v>663</v>
          </cell>
          <cell r="IH27">
            <v>697</v>
          </cell>
        </row>
        <row r="28">
          <cell r="HW28">
            <v>2376</v>
          </cell>
          <cell r="HX28">
            <v>2389</v>
          </cell>
          <cell r="HY28">
            <v>2333</v>
          </cell>
          <cell r="HZ28">
            <v>2266</v>
          </cell>
          <cell r="IA28">
            <v>2204</v>
          </cell>
          <cell r="IB28">
            <v>2145</v>
          </cell>
          <cell r="IC28">
            <v>2176</v>
          </cell>
          <cell r="ID28">
            <v>2153</v>
          </cell>
          <cell r="IE28">
            <v>2091</v>
          </cell>
          <cell r="IF28">
            <v>2163</v>
          </cell>
          <cell r="IG28">
            <v>2299</v>
          </cell>
          <cell r="IH28">
            <v>2339</v>
          </cell>
        </row>
        <row r="29">
          <cell r="HW29">
            <v>267</v>
          </cell>
          <cell r="HX29">
            <v>252</v>
          </cell>
          <cell r="HY29">
            <v>228</v>
          </cell>
          <cell r="HZ29">
            <v>219</v>
          </cell>
          <cell r="IA29">
            <v>220</v>
          </cell>
          <cell r="IB29">
            <v>232</v>
          </cell>
          <cell r="IC29">
            <v>223</v>
          </cell>
          <cell r="ID29">
            <v>223</v>
          </cell>
          <cell r="IE29">
            <v>230</v>
          </cell>
          <cell r="IF29">
            <v>241</v>
          </cell>
          <cell r="IG29">
            <v>264</v>
          </cell>
          <cell r="IH29">
            <v>264</v>
          </cell>
        </row>
        <row r="30">
          <cell r="HW30">
            <v>471</v>
          </cell>
          <cell r="HX30">
            <v>473</v>
          </cell>
          <cell r="HY30">
            <v>466</v>
          </cell>
          <cell r="HZ30">
            <v>445</v>
          </cell>
          <cell r="IA30">
            <v>436</v>
          </cell>
          <cell r="IB30">
            <v>429</v>
          </cell>
          <cell r="IC30">
            <v>461</v>
          </cell>
          <cell r="ID30">
            <v>448</v>
          </cell>
          <cell r="IE30">
            <v>452</v>
          </cell>
          <cell r="IF30">
            <v>471</v>
          </cell>
          <cell r="IG30">
            <v>521</v>
          </cell>
          <cell r="IH30">
            <v>536</v>
          </cell>
        </row>
      </sheetData>
      <sheetData sheetId="2"/>
      <sheetData sheetId="3">
        <row r="4">
          <cell r="F4">
            <v>148614.95113100001</v>
          </cell>
        </row>
        <row r="5">
          <cell r="F5">
            <v>148614.95113100001</v>
          </cell>
        </row>
        <row r="6">
          <cell r="F6">
            <v>80382.729730000006</v>
          </cell>
        </row>
        <row r="7">
          <cell r="F7">
            <v>68232.221401000003</v>
          </cell>
        </row>
        <row r="8">
          <cell r="F8">
            <v>112394.69218699999</v>
          </cell>
        </row>
        <row r="9">
          <cell r="F9">
            <v>36220.258944000001</v>
          </cell>
        </row>
        <row r="11">
          <cell r="F11">
            <v>5344.9530919999997</v>
          </cell>
        </row>
        <row r="12">
          <cell r="F12">
            <v>11257.900237</v>
          </cell>
        </row>
        <row r="13">
          <cell r="F13">
            <v>15284.591861000001</v>
          </cell>
        </row>
        <row r="14">
          <cell r="F14">
            <v>32471.569025999997</v>
          </cell>
        </row>
        <row r="15">
          <cell r="F15">
            <v>31282.300984000001</v>
          </cell>
        </row>
        <row r="16">
          <cell r="F16">
            <v>37798.556336000001</v>
          </cell>
        </row>
        <row r="17">
          <cell r="F17">
            <v>15175.079594999999</v>
          </cell>
        </row>
        <row r="20">
          <cell r="F20">
            <v>54121.551214000006</v>
          </cell>
        </row>
        <row r="21">
          <cell r="F21">
            <v>13083.517882000002</v>
          </cell>
        </row>
        <row r="22">
          <cell r="F22">
            <v>55459.983252999999</v>
          </cell>
        </row>
        <row r="23">
          <cell r="F23">
            <v>7955.4672220000002</v>
          </cell>
        </row>
        <row r="24">
          <cell r="F24">
            <v>17994.431559999997</v>
          </cell>
        </row>
        <row r="27">
          <cell r="F27">
            <v>54121.551214000006</v>
          </cell>
        </row>
        <row r="28">
          <cell r="F28">
            <v>13083.517882000002</v>
          </cell>
        </row>
        <row r="29">
          <cell r="F29">
            <v>55459.983252999999</v>
          </cell>
        </row>
        <row r="30">
          <cell r="F30">
            <v>7955.4672220000002</v>
          </cell>
        </row>
        <row r="31">
          <cell r="F31">
            <v>17994.431559999997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II3">
            <v>5691</v>
          </cell>
          <cell r="IJ3">
            <v>5740</v>
          </cell>
          <cell r="IK3">
            <v>5727</v>
          </cell>
          <cell r="IL3">
            <v>5764</v>
          </cell>
          <cell r="IM3">
            <v>5795</v>
          </cell>
          <cell r="IN3">
            <v>5861</v>
          </cell>
          <cell r="IO3">
            <v>6035</v>
          </cell>
          <cell r="IP3">
            <v>6009</v>
          </cell>
          <cell r="IQ3">
            <v>6173</v>
          </cell>
          <cell r="IR3">
            <v>6405</v>
          </cell>
          <cell r="IS3">
            <v>6738</v>
          </cell>
          <cell r="IT3">
            <v>7045</v>
          </cell>
        </row>
        <row r="4">
          <cell r="II4">
            <v>3460</v>
          </cell>
          <cell r="IJ4">
            <v>3368</v>
          </cell>
          <cell r="IK4">
            <v>3306</v>
          </cell>
          <cell r="IL4">
            <v>3259</v>
          </cell>
          <cell r="IM4">
            <v>3282</v>
          </cell>
          <cell r="IN4">
            <v>3315</v>
          </cell>
          <cell r="IO4">
            <v>3486</v>
          </cell>
          <cell r="IP4">
            <v>3623</v>
          </cell>
          <cell r="IQ4">
            <v>3711</v>
          </cell>
          <cell r="IR4">
            <v>3822</v>
          </cell>
          <cell r="IS4">
            <v>3984</v>
          </cell>
          <cell r="IT4">
            <v>4343</v>
          </cell>
        </row>
        <row r="5">
          <cell r="II5">
            <v>3200</v>
          </cell>
          <cell r="IJ5">
            <v>3223</v>
          </cell>
          <cell r="IK5">
            <v>3192</v>
          </cell>
          <cell r="IL5">
            <v>3210</v>
          </cell>
          <cell r="IM5">
            <v>3252</v>
          </cell>
          <cell r="IN5">
            <v>3313</v>
          </cell>
          <cell r="IO5">
            <v>3368</v>
          </cell>
          <cell r="IP5">
            <v>3351</v>
          </cell>
          <cell r="IQ5">
            <v>3429</v>
          </cell>
          <cell r="IR5">
            <v>3596</v>
          </cell>
          <cell r="IS5">
            <v>3797</v>
          </cell>
          <cell r="IT5">
            <v>4032</v>
          </cell>
        </row>
        <row r="6">
          <cell r="II6">
            <v>2491</v>
          </cell>
          <cell r="IJ6">
            <v>2517</v>
          </cell>
          <cell r="IK6">
            <v>2535</v>
          </cell>
          <cell r="IL6">
            <v>2554</v>
          </cell>
          <cell r="IM6">
            <v>2543</v>
          </cell>
          <cell r="IN6">
            <v>2548</v>
          </cell>
          <cell r="IO6">
            <v>2667</v>
          </cell>
          <cell r="IP6">
            <v>2658</v>
          </cell>
          <cell r="IQ6">
            <v>2744</v>
          </cell>
          <cell r="IR6">
            <v>2809</v>
          </cell>
          <cell r="IS6">
            <v>2941</v>
          </cell>
          <cell r="IT6">
            <v>3013</v>
          </cell>
        </row>
        <row r="7">
          <cell r="II7">
            <v>2566</v>
          </cell>
          <cell r="IJ7">
            <v>2629</v>
          </cell>
          <cell r="IK7">
            <v>2584</v>
          </cell>
          <cell r="IL7">
            <v>2602</v>
          </cell>
          <cell r="IM7">
            <v>2630</v>
          </cell>
          <cell r="IN7">
            <v>2660</v>
          </cell>
          <cell r="IO7">
            <v>2764</v>
          </cell>
          <cell r="IP7">
            <v>2749</v>
          </cell>
          <cell r="IQ7">
            <v>2821</v>
          </cell>
          <cell r="IR7">
            <v>2933</v>
          </cell>
          <cell r="IS7">
            <v>3039</v>
          </cell>
          <cell r="IT7">
            <v>3141</v>
          </cell>
        </row>
        <row r="8">
          <cell r="II8">
            <v>3125</v>
          </cell>
          <cell r="IJ8">
            <v>3111</v>
          </cell>
          <cell r="IK8">
            <v>3143</v>
          </cell>
          <cell r="IL8">
            <v>3162</v>
          </cell>
          <cell r="IM8">
            <v>3165</v>
          </cell>
          <cell r="IN8">
            <v>3201</v>
          </cell>
          <cell r="IO8">
            <v>3271</v>
          </cell>
          <cell r="IP8">
            <v>3260</v>
          </cell>
          <cell r="IQ8">
            <v>3352</v>
          </cell>
          <cell r="IR8">
            <v>3472</v>
          </cell>
          <cell r="IS8">
            <v>3699</v>
          </cell>
          <cell r="IT8">
            <v>3904</v>
          </cell>
        </row>
        <row r="10">
          <cell r="II10">
            <v>192</v>
          </cell>
          <cell r="IJ10">
            <v>187</v>
          </cell>
          <cell r="IK10">
            <v>176</v>
          </cell>
          <cell r="IL10">
            <v>164</v>
          </cell>
          <cell r="IM10">
            <v>148</v>
          </cell>
          <cell r="IN10">
            <v>158</v>
          </cell>
          <cell r="IO10">
            <v>202</v>
          </cell>
          <cell r="IP10">
            <v>208</v>
          </cell>
          <cell r="IQ10">
            <v>205</v>
          </cell>
          <cell r="IR10">
            <v>225</v>
          </cell>
          <cell r="IS10">
            <v>210</v>
          </cell>
          <cell r="IT10">
            <v>210</v>
          </cell>
        </row>
        <row r="11">
          <cell r="II11">
            <v>415</v>
          </cell>
          <cell r="IJ11">
            <v>426</v>
          </cell>
          <cell r="IK11">
            <v>421</v>
          </cell>
          <cell r="IL11">
            <v>431</v>
          </cell>
          <cell r="IM11">
            <v>437</v>
          </cell>
          <cell r="IN11">
            <v>438</v>
          </cell>
          <cell r="IO11">
            <v>466</v>
          </cell>
          <cell r="IP11">
            <v>487</v>
          </cell>
          <cell r="IQ11">
            <v>492</v>
          </cell>
          <cell r="IR11">
            <v>500</v>
          </cell>
          <cell r="IS11">
            <v>535</v>
          </cell>
          <cell r="IT11">
            <v>555</v>
          </cell>
        </row>
        <row r="12">
          <cell r="II12">
            <v>689</v>
          </cell>
          <cell r="IJ12">
            <v>696</v>
          </cell>
          <cell r="IK12">
            <v>663</v>
          </cell>
          <cell r="IL12">
            <v>648</v>
          </cell>
          <cell r="IM12">
            <v>653</v>
          </cell>
          <cell r="IN12">
            <v>688</v>
          </cell>
          <cell r="IO12">
            <v>715</v>
          </cell>
          <cell r="IP12">
            <v>719</v>
          </cell>
          <cell r="IQ12">
            <v>735</v>
          </cell>
          <cell r="IR12">
            <v>754</v>
          </cell>
          <cell r="IS12">
            <v>788</v>
          </cell>
          <cell r="IT12">
            <v>840</v>
          </cell>
        </row>
        <row r="13">
          <cell r="II13">
            <v>1386</v>
          </cell>
          <cell r="IJ13">
            <v>1380</v>
          </cell>
          <cell r="IK13">
            <v>1415</v>
          </cell>
          <cell r="IL13">
            <v>1458</v>
          </cell>
          <cell r="IM13">
            <v>1457</v>
          </cell>
          <cell r="IN13">
            <v>1463</v>
          </cell>
          <cell r="IO13">
            <v>1511</v>
          </cell>
          <cell r="IP13">
            <v>1496</v>
          </cell>
          <cell r="IQ13">
            <v>1553</v>
          </cell>
          <cell r="IR13">
            <v>1614</v>
          </cell>
          <cell r="IS13">
            <v>1709</v>
          </cell>
          <cell r="IT13">
            <v>1823</v>
          </cell>
        </row>
        <row r="14">
          <cell r="II14">
            <v>1171</v>
          </cell>
          <cell r="IJ14">
            <v>1181</v>
          </cell>
          <cell r="IK14">
            <v>1178</v>
          </cell>
          <cell r="IL14">
            <v>1188</v>
          </cell>
          <cell r="IM14">
            <v>1212</v>
          </cell>
          <cell r="IN14">
            <v>1213</v>
          </cell>
          <cell r="IO14">
            <v>1223</v>
          </cell>
          <cell r="IP14">
            <v>1194</v>
          </cell>
          <cell r="IQ14">
            <v>1239</v>
          </cell>
          <cell r="IR14">
            <v>1309</v>
          </cell>
          <cell r="IS14">
            <v>1410</v>
          </cell>
          <cell r="IT14">
            <v>1475</v>
          </cell>
        </row>
        <row r="15">
          <cell r="II15">
            <v>1225</v>
          </cell>
          <cell r="IJ15">
            <v>1247</v>
          </cell>
          <cell r="IK15">
            <v>1234</v>
          </cell>
          <cell r="IL15">
            <v>1233</v>
          </cell>
          <cell r="IM15">
            <v>1216</v>
          </cell>
          <cell r="IN15">
            <v>1240</v>
          </cell>
          <cell r="IO15">
            <v>1257</v>
          </cell>
          <cell r="IP15">
            <v>1240</v>
          </cell>
          <cell r="IQ15">
            <v>1263</v>
          </cell>
          <cell r="IR15">
            <v>1298</v>
          </cell>
          <cell r="IS15">
            <v>1362</v>
          </cell>
          <cell r="IT15">
            <v>1401</v>
          </cell>
        </row>
        <row r="16">
          <cell r="II16">
            <v>613</v>
          </cell>
          <cell r="IJ16">
            <v>623</v>
          </cell>
          <cell r="IK16">
            <v>640</v>
          </cell>
          <cell r="IL16">
            <v>642</v>
          </cell>
          <cell r="IM16">
            <v>672</v>
          </cell>
          <cell r="IN16">
            <v>661</v>
          </cell>
          <cell r="IO16">
            <v>661</v>
          </cell>
          <cell r="IP16">
            <v>665</v>
          </cell>
          <cell r="IQ16">
            <v>686</v>
          </cell>
          <cell r="IR16">
            <v>705</v>
          </cell>
          <cell r="IS16">
            <v>724</v>
          </cell>
          <cell r="IT16">
            <v>741</v>
          </cell>
        </row>
        <row r="19">
          <cell r="II19">
            <v>1034</v>
          </cell>
          <cell r="IJ19">
            <v>997</v>
          </cell>
          <cell r="IK19">
            <v>1001</v>
          </cell>
          <cell r="IL19">
            <v>980</v>
          </cell>
          <cell r="IM19">
            <v>1000</v>
          </cell>
          <cell r="IN19">
            <v>995</v>
          </cell>
          <cell r="IO19">
            <v>1055</v>
          </cell>
          <cell r="IP19">
            <v>1154</v>
          </cell>
          <cell r="IQ19">
            <v>1199</v>
          </cell>
          <cell r="IR19">
            <v>1229</v>
          </cell>
          <cell r="IS19">
            <v>1272</v>
          </cell>
          <cell r="IT19">
            <v>1371</v>
          </cell>
        </row>
        <row r="20">
          <cell r="II20">
            <v>461</v>
          </cell>
          <cell r="IJ20">
            <v>438</v>
          </cell>
          <cell r="IK20">
            <v>451</v>
          </cell>
          <cell r="IL20">
            <v>437</v>
          </cell>
          <cell r="IM20">
            <v>439</v>
          </cell>
          <cell r="IN20">
            <v>439</v>
          </cell>
          <cell r="IO20">
            <v>436</v>
          </cell>
          <cell r="IP20">
            <v>450</v>
          </cell>
          <cell r="IQ20">
            <v>459</v>
          </cell>
          <cell r="IR20">
            <v>473</v>
          </cell>
          <cell r="IS20">
            <v>497</v>
          </cell>
          <cell r="IT20">
            <v>553</v>
          </cell>
        </row>
        <row r="21">
          <cell r="II21">
            <v>1452</v>
          </cell>
          <cell r="IJ21">
            <v>1420</v>
          </cell>
          <cell r="IK21">
            <v>1373</v>
          </cell>
          <cell r="IL21">
            <v>1357</v>
          </cell>
          <cell r="IM21">
            <v>1360</v>
          </cell>
          <cell r="IN21">
            <v>1382</v>
          </cell>
          <cell r="IO21">
            <v>1491</v>
          </cell>
          <cell r="IP21">
            <v>1495</v>
          </cell>
          <cell r="IQ21">
            <v>1515</v>
          </cell>
          <cell r="IR21">
            <v>1595</v>
          </cell>
          <cell r="IS21">
            <v>1673</v>
          </cell>
          <cell r="IT21">
            <v>1819</v>
          </cell>
        </row>
        <row r="22">
          <cell r="II22">
            <v>176</v>
          </cell>
          <cell r="IJ22">
            <v>172</v>
          </cell>
          <cell r="IK22">
            <v>164</v>
          </cell>
          <cell r="IL22">
            <v>160</v>
          </cell>
          <cell r="IM22">
            <v>161</v>
          </cell>
          <cell r="IN22">
            <v>175</v>
          </cell>
          <cell r="IO22">
            <v>176</v>
          </cell>
          <cell r="IP22">
            <v>171</v>
          </cell>
          <cell r="IQ22">
            <v>186</v>
          </cell>
          <cell r="IR22">
            <v>183</v>
          </cell>
          <cell r="IS22">
            <v>203</v>
          </cell>
          <cell r="IT22">
            <v>226</v>
          </cell>
        </row>
        <row r="23">
          <cell r="II23">
            <v>337</v>
          </cell>
          <cell r="IJ23">
            <v>341</v>
          </cell>
          <cell r="IK23">
            <v>317</v>
          </cell>
          <cell r="IL23">
            <v>325</v>
          </cell>
          <cell r="IM23">
            <v>322</v>
          </cell>
          <cell r="IN23">
            <v>324</v>
          </cell>
          <cell r="IO23">
            <v>328</v>
          </cell>
          <cell r="IP23">
            <v>353</v>
          </cell>
          <cell r="IQ23">
            <v>352</v>
          </cell>
          <cell r="IR23">
            <v>342</v>
          </cell>
          <cell r="IS23">
            <v>339</v>
          </cell>
          <cell r="IT23">
            <v>374</v>
          </cell>
        </row>
        <row r="26">
          <cell r="II26">
            <v>1733</v>
          </cell>
          <cell r="IJ26">
            <v>1716</v>
          </cell>
          <cell r="IK26">
            <v>1742</v>
          </cell>
          <cell r="IL26">
            <v>1745</v>
          </cell>
          <cell r="IM26">
            <v>1765</v>
          </cell>
          <cell r="IN26">
            <v>1811</v>
          </cell>
          <cell r="IO26">
            <v>1889</v>
          </cell>
          <cell r="IP26">
            <v>1940</v>
          </cell>
          <cell r="IQ26">
            <v>1974</v>
          </cell>
          <cell r="IR26">
            <v>2064</v>
          </cell>
          <cell r="IS26">
            <v>2153</v>
          </cell>
          <cell r="IT26">
            <v>2237</v>
          </cell>
        </row>
        <row r="27">
          <cell r="II27">
            <v>718</v>
          </cell>
          <cell r="IJ27">
            <v>728</v>
          </cell>
          <cell r="IK27">
            <v>730</v>
          </cell>
          <cell r="IL27">
            <v>733</v>
          </cell>
          <cell r="IM27">
            <v>738</v>
          </cell>
          <cell r="IN27">
            <v>743</v>
          </cell>
          <cell r="IO27">
            <v>744</v>
          </cell>
          <cell r="IP27">
            <v>744</v>
          </cell>
          <cell r="IQ27">
            <v>758</v>
          </cell>
          <cell r="IR27">
            <v>771</v>
          </cell>
          <cell r="IS27">
            <v>831</v>
          </cell>
          <cell r="IT27">
            <v>883</v>
          </cell>
        </row>
        <row r="28">
          <cell r="II28">
            <v>2419</v>
          </cell>
          <cell r="IJ28">
            <v>2469</v>
          </cell>
          <cell r="IK28">
            <v>2443</v>
          </cell>
          <cell r="IL28">
            <v>2474</v>
          </cell>
          <cell r="IM28">
            <v>2470</v>
          </cell>
          <cell r="IN28">
            <v>2481</v>
          </cell>
          <cell r="IO28">
            <v>2579</v>
          </cell>
          <cell r="IP28">
            <v>2493</v>
          </cell>
          <cell r="IQ28">
            <v>2585</v>
          </cell>
          <cell r="IR28">
            <v>2724</v>
          </cell>
          <cell r="IS28">
            <v>2878</v>
          </cell>
          <cell r="IT28">
            <v>2993</v>
          </cell>
        </row>
        <row r="29">
          <cell r="II29">
            <v>286</v>
          </cell>
          <cell r="IJ29">
            <v>280</v>
          </cell>
          <cell r="IK29">
            <v>291</v>
          </cell>
          <cell r="IL29">
            <v>282</v>
          </cell>
          <cell r="IM29">
            <v>282</v>
          </cell>
          <cell r="IN29">
            <v>287</v>
          </cell>
          <cell r="IO29">
            <v>291</v>
          </cell>
          <cell r="IP29">
            <v>291</v>
          </cell>
          <cell r="IQ29">
            <v>308</v>
          </cell>
          <cell r="IR29">
            <v>302</v>
          </cell>
          <cell r="IS29">
            <v>331</v>
          </cell>
          <cell r="IT29">
            <v>352</v>
          </cell>
        </row>
        <row r="30">
          <cell r="II30">
            <v>535</v>
          </cell>
          <cell r="IJ30">
            <v>547</v>
          </cell>
          <cell r="IK30">
            <v>521</v>
          </cell>
          <cell r="IL30">
            <v>530</v>
          </cell>
          <cell r="IM30">
            <v>540</v>
          </cell>
          <cell r="IN30">
            <v>539</v>
          </cell>
          <cell r="IO30">
            <v>532</v>
          </cell>
          <cell r="IP30">
            <v>541</v>
          </cell>
          <cell r="IQ30">
            <v>548</v>
          </cell>
          <cell r="IR30">
            <v>544</v>
          </cell>
          <cell r="IS30">
            <v>545</v>
          </cell>
          <cell r="IT30">
            <v>580</v>
          </cell>
        </row>
      </sheetData>
      <sheetData sheetId="2"/>
      <sheetData sheetId="3">
        <row r="4">
          <cell r="G4">
            <v>149362.15</v>
          </cell>
        </row>
        <row r="5">
          <cell r="G5">
            <v>149362.15</v>
          </cell>
        </row>
        <row r="6">
          <cell r="G6">
            <v>80864.566542</v>
          </cell>
        </row>
        <row r="7">
          <cell r="G7">
            <v>68497.587786999997</v>
          </cell>
        </row>
        <row r="8">
          <cell r="G8">
            <v>110000.67</v>
          </cell>
        </row>
        <row r="9">
          <cell r="G9">
            <v>39361.480000000003</v>
          </cell>
        </row>
        <row r="11">
          <cell r="G11">
            <v>5094.8713420000004</v>
          </cell>
        </row>
        <row r="12">
          <cell r="G12">
            <v>10176.372696</v>
          </cell>
        </row>
        <row r="13">
          <cell r="G13">
            <v>14590.718894</v>
          </cell>
        </row>
        <row r="14">
          <cell r="G14">
            <v>34417</v>
          </cell>
        </row>
        <row r="15">
          <cell r="G15">
            <v>31560</v>
          </cell>
        </row>
        <row r="16">
          <cell r="G16">
            <v>36552</v>
          </cell>
        </row>
        <row r="17">
          <cell r="G17">
            <v>16970</v>
          </cell>
        </row>
        <row r="20">
          <cell r="G20">
            <v>53841.393561000004</v>
          </cell>
        </row>
        <row r="21">
          <cell r="G21">
            <v>13870.977122</v>
          </cell>
        </row>
        <row r="22">
          <cell r="G22">
            <v>55755.751409000004</v>
          </cell>
        </row>
        <row r="23">
          <cell r="G23">
            <v>7833.0715870000004</v>
          </cell>
        </row>
        <row r="24">
          <cell r="G24">
            <v>17994.431559999997</v>
          </cell>
        </row>
        <row r="27">
          <cell r="G27">
            <v>53841.393561000004</v>
          </cell>
        </row>
        <row r="28">
          <cell r="G28">
            <v>13870.977122</v>
          </cell>
        </row>
        <row r="29">
          <cell r="G29">
            <v>55755.751409000004</v>
          </cell>
        </row>
        <row r="30">
          <cell r="G30">
            <v>7833.0715870000004</v>
          </cell>
        </row>
        <row r="31">
          <cell r="G31">
            <v>17994.431559999997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IU3">
            <v>7269</v>
          </cell>
          <cell r="IV3">
            <v>7332</v>
          </cell>
          <cell r="IW3">
            <v>7382</v>
          </cell>
          <cell r="IX3">
            <v>7296</v>
          </cell>
          <cell r="IY3">
            <v>7193</v>
          </cell>
          <cell r="IZ3">
            <v>7363</v>
          </cell>
          <cell r="JA3">
            <v>7470</v>
          </cell>
          <cell r="JB3">
            <v>7461</v>
          </cell>
          <cell r="JC3">
            <v>7495</v>
          </cell>
          <cell r="JD3">
            <v>7720</v>
          </cell>
          <cell r="JE3">
            <v>7855</v>
          </cell>
          <cell r="JF3">
            <v>7987</v>
          </cell>
          <cell r="JG3">
            <v>8119</v>
          </cell>
          <cell r="JH3">
            <v>7991</v>
          </cell>
          <cell r="JI3">
            <v>7915</v>
          </cell>
        </row>
        <row r="4">
          <cell r="IU4">
            <v>4633</v>
          </cell>
          <cell r="IV4">
            <v>4676</v>
          </cell>
          <cell r="IW4">
            <v>4663</v>
          </cell>
          <cell r="IX4">
            <v>4510</v>
          </cell>
          <cell r="IY4">
            <v>4383</v>
          </cell>
          <cell r="IZ4">
            <v>4471</v>
          </cell>
          <cell r="JA4">
            <v>4531</v>
          </cell>
          <cell r="JB4">
            <v>4658</v>
          </cell>
          <cell r="JC4">
            <v>4618</v>
          </cell>
          <cell r="JD4">
            <v>4594</v>
          </cell>
          <cell r="JE4">
            <v>4644</v>
          </cell>
          <cell r="JF4">
            <v>4932</v>
          </cell>
          <cell r="JG4">
            <v>5213</v>
          </cell>
          <cell r="JH4">
            <v>5165</v>
          </cell>
          <cell r="JI4">
            <v>4894</v>
          </cell>
        </row>
        <row r="5">
          <cell r="IU5">
            <v>4138</v>
          </cell>
          <cell r="IV5">
            <v>4153</v>
          </cell>
          <cell r="IW5">
            <v>4142</v>
          </cell>
          <cell r="IX5">
            <v>4043</v>
          </cell>
          <cell r="IY5">
            <v>3951</v>
          </cell>
          <cell r="IZ5">
            <v>4038</v>
          </cell>
          <cell r="JA5">
            <v>4111</v>
          </cell>
          <cell r="JB5">
            <v>4083</v>
          </cell>
          <cell r="JC5">
            <v>4076</v>
          </cell>
          <cell r="JD5">
            <v>4234</v>
          </cell>
          <cell r="JE5">
            <v>4370</v>
          </cell>
          <cell r="JF5">
            <v>4504</v>
          </cell>
          <cell r="JG5">
            <v>4558</v>
          </cell>
          <cell r="JH5">
            <v>4481</v>
          </cell>
          <cell r="JI5">
            <v>4410</v>
          </cell>
        </row>
        <row r="6">
          <cell r="IU6">
            <v>3131</v>
          </cell>
          <cell r="IV6">
            <v>3179</v>
          </cell>
          <cell r="IW6">
            <v>3240</v>
          </cell>
          <cell r="IX6">
            <v>3253</v>
          </cell>
          <cell r="IY6">
            <v>3242</v>
          </cell>
          <cell r="IZ6">
            <v>3325</v>
          </cell>
          <cell r="JA6">
            <v>3359</v>
          </cell>
          <cell r="JB6">
            <v>3378</v>
          </cell>
          <cell r="JC6">
            <v>3419</v>
          </cell>
          <cell r="JD6">
            <v>3486</v>
          </cell>
          <cell r="JE6">
            <v>3485</v>
          </cell>
          <cell r="JF6">
            <v>3483</v>
          </cell>
          <cell r="JG6">
            <v>3561</v>
          </cell>
          <cell r="JH6">
            <v>3510</v>
          </cell>
          <cell r="JI6">
            <v>3505</v>
          </cell>
        </row>
        <row r="7">
          <cell r="IU7">
            <v>3231</v>
          </cell>
          <cell r="IV7">
            <v>3253</v>
          </cell>
          <cell r="IW7">
            <v>3319</v>
          </cell>
          <cell r="IX7">
            <v>3296</v>
          </cell>
          <cell r="IY7">
            <v>3272</v>
          </cell>
          <cell r="IZ7">
            <v>3362</v>
          </cell>
          <cell r="JA7">
            <v>3437</v>
          </cell>
          <cell r="JB7">
            <v>3487</v>
          </cell>
          <cell r="JC7">
            <v>3506</v>
          </cell>
          <cell r="JD7">
            <v>3601</v>
          </cell>
          <cell r="JE7">
            <v>3634</v>
          </cell>
          <cell r="JF7">
            <v>3694</v>
          </cell>
          <cell r="JG7">
            <v>3741</v>
          </cell>
          <cell r="JH7">
            <v>3695</v>
          </cell>
          <cell r="JI7">
            <v>3700</v>
          </cell>
        </row>
        <row r="8">
          <cell r="IU8">
            <v>4038</v>
          </cell>
          <cell r="IV8">
            <v>4079</v>
          </cell>
          <cell r="IW8">
            <v>4063</v>
          </cell>
          <cell r="IX8">
            <v>4000</v>
          </cell>
          <cell r="IY8">
            <v>3921</v>
          </cell>
          <cell r="IZ8">
            <v>4001</v>
          </cell>
          <cell r="JA8">
            <v>4033</v>
          </cell>
          <cell r="JB8">
            <v>3974</v>
          </cell>
          <cell r="JC8">
            <v>3989</v>
          </cell>
          <cell r="JD8">
            <v>4119</v>
          </cell>
          <cell r="JE8">
            <v>4221</v>
          </cell>
          <cell r="JF8">
            <v>4293</v>
          </cell>
          <cell r="JG8">
            <v>4378</v>
          </cell>
          <cell r="JH8">
            <v>4296</v>
          </cell>
          <cell r="JI8">
            <v>4215</v>
          </cell>
        </row>
        <row r="10">
          <cell r="IU10">
            <v>213</v>
          </cell>
          <cell r="IV10">
            <v>206</v>
          </cell>
          <cell r="IW10">
            <v>210</v>
          </cell>
          <cell r="IX10">
            <v>214</v>
          </cell>
          <cell r="IY10">
            <v>215</v>
          </cell>
          <cell r="IZ10">
            <v>275</v>
          </cell>
          <cell r="JA10">
            <v>311</v>
          </cell>
          <cell r="JB10">
            <v>328</v>
          </cell>
          <cell r="JC10">
            <v>309</v>
          </cell>
          <cell r="JD10">
            <v>292</v>
          </cell>
          <cell r="JE10">
            <v>285</v>
          </cell>
          <cell r="JF10">
            <v>281</v>
          </cell>
          <cell r="JG10">
            <v>272</v>
          </cell>
          <cell r="JH10">
            <v>278</v>
          </cell>
          <cell r="JI10">
            <v>262</v>
          </cell>
        </row>
        <row r="11">
          <cell r="IU11">
            <v>567</v>
          </cell>
          <cell r="IV11">
            <v>596</v>
          </cell>
          <cell r="IW11">
            <v>589</v>
          </cell>
          <cell r="IX11">
            <v>555</v>
          </cell>
          <cell r="IY11">
            <v>509</v>
          </cell>
          <cell r="IZ11">
            <v>522</v>
          </cell>
          <cell r="JA11">
            <v>559</v>
          </cell>
          <cell r="JB11">
            <v>593</v>
          </cell>
          <cell r="JC11">
            <v>598</v>
          </cell>
          <cell r="JD11">
            <v>620</v>
          </cell>
          <cell r="JE11">
            <v>615</v>
          </cell>
          <cell r="JF11">
            <v>599</v>
          </cell>
          <cell r="JG11">
            <v>617</v>
          </cell>
          <cell r="JH11">
            <v>584</v>
          </cell>
          <cell r="JI11">
            <v>548</v>
          </cell>
        </row>
        <row r="12">
          <cell r="IU12">
            <v>863</v>
          </cell>
          <cell r="IV12">
            <v>873</v>
          </cell>
          <cell r="IW12">
            <v>886</v>
          </cell>
          <cell r="IX12">
            <v>870</v>
          </cell>
          <cell r="IY12">
            <v>854</v>
          </cell>
          <cell r="IZ12">
            <v>870</v>
          </cell>
          <cell r="JA12">
            <v>871</v>
          </cell>
          <cell r="JB12">
            <v>830</v>
          </cell>
          <cell r="JC12">
            <v>806</v>
          </cell>
          <cell r="JD12">
            <v>837</v>
          </cell>
          <cell r="JE12">
            <v>851</v>
          </cell>
          <cell r="JF12">
            <v>888</v>
          </cell>
          <cell r="JG12">
            <v>938</v>
          </cell>
          <cell r="JH12">
            <v>895</v>
          </cell>
          <cell r="JI12">
            <v>882</v>
          </cell>
        </row>
        <row r="13">
          <cell r="IU13">
            <v>1873</v>
          </cell>
          <cell r="IV13">
            <v>1852</v>
          </cell>
          <cell r="IW13">
            <v>1824</v>
          </cell>
          <cell r="IX13">
            <v>1807</v>
          </cell>
          <cell r="IY13">
            <v>1774</v>
          </cell>
          <cell r="IZ13">
            <v>1849</v>
          </cell>
          <cell r="JA13">
            <v>1873</v>
          </cell>
          <cell r="JB13">
            <v>1861</v>
          </cell>
          <cell r="JC13">
            <v>1881</v>
          </cell>
          <cell r="JD13">
            <v>1942</v>
          </cell>
          <cell r="JE13">
            <v>2018</v>
          </cell>
          <cell r="JF13">
            <v>2026</v>
          </cell>
          <cell r="JG13">
            <v>2068</v>
          </cell>
          <cell r="JH13">
            <v>2044</v>
          </cell>
          <cell r="JI13">
            <v>2010</v>
          </cell>
        </row>
        <row r="14">
          <cell r="IU14">
            <v>1537</v>
          </cell>
          <cell r="IV14">
            <v>1576</v>
          </cell>
          <cell r="IW14">
            <v>1594</v>
          </cell>
          <cell r="IX14">
            <v>1583</v>
          </cell>
          <cell r="IY14">
            <v>1557</v>
          </cell>
          <cell r="IZ14">
            <v>1570</v>
          </cell>
          <cell r="JA14">
            <v>1561</v>
          </cell>
          <cell r="JB14">
            <v>1557</v>
          </cell>
          <cell r="JC14">
            <v>1608</v>
          </cell>
          <cell r="JD14">
            <v>1681</v>
          </cell>
          <cell r="JE14">
            <v>1722</v>
          </cell>
          <cell r="JF14">
            <v>1765</v>
          </cell>
          <cell r="JG14">
            <v>1763</v>
          </cell>
          <cell r="JH14">
            <v>1749</v>
          </cell>
          <cell r="JI14">
            <v>1749</v>
          </cell>
        </row>
        <row r="15">
          <cell r="IU15">
            <v>1453</v>
          </cell>
          <cell r="IV15">
            <v>1451</v>
          </cell>
          <cell r="IW15">
            <v>1489</v>
          </cell>
          <cell r="IX15">
            <v>1460</v>
          </cell>
          <cell r="IY15">
            <v>1470</v>
          </cell>
          <cell r="IZ15">
            <v>1463</v>
          </cell>
          <cell r="JA15">
            <v>1451</v>
          </cell>
          <cell r="JB15">
            <v>1444</v>
          </cell>
          <cell r="JC15">
            <v>1438</v>
          </cell>
          <cell r="JD15">
            <v>1456</v>
          </cell>
          <cell r="JE15">
            <v>1466</v>
          </cell>
          <cell r="JF15">
            <v>1533</v>
          </cell>
          <cell r="JG15">
            <v>1570</v>
          </cell>
          <cell r="JH15">
            <v>1557</v>
          </cell>
          <cell r="JI15">
            <v>1574</v>
          </cell>
        </row>
        <row r="16">
          <cell r="IU16">
            <v>763</v>
          </cell>
          <cell r="IV16">
            <v>778</v>
          </cell>
          <cell r="IW16">
            <v>790</v>
          </cell>
          <cell r="IX16">
            <v>807</v>
          </cell>
          <cell r="IY16">
            <v>814</v>
          </cell>
          <cell r="IZ16">
            <v>814</v>
          </cell>
          <cell r="JA16">
            <v>844</v>
          </cell>
          <cell r="JB16">
            <v>848</v>
          </cell>
          <cell r="JC16">
            <v>855</v>
          </cell>
          <cell r="JD16">
            <v>892</v>
          </cell>
          <cell r="JE16">
            <v>898</v>
          </cell>
          <cell r="JF16">
            <v>895</v>
          </cell>
          <cell r="JG16">
            <v>891</v>
          </cell>
          <cell r="JH16">
            <v>884</v>
          </cell>
          <cell r="JI16">
            <v>890</v>
          </cell>
        </row>
        <row r="19">
          <cell r="IU19">
            <v>1410</v>
          </cell>
          <cell r="IV19">
            <v>1452</v>
          </cell>
          <cell r="IW19">
            <v>1478</v>
          </cell>
          <cell r="IX19">
            <v>1418</v>
          </cell>
          <cell r="IY19">
            <v>1370</v>
          </cell>
          <cell r="IZ19">
            <v>1389</v>
          </cell>
          <cell r="JA19">
            <v>1437</v>
          </cell>
          <cell r="JB19">
            <v>1524</v>
          </cell>
          <cell r="JC19">
            <v>1506</v>
          </cell>
          <cell r="JD19">
            <v>1478</v>
          </cell>
          <cell r="JE19">
            <v>1505</v>
          </cell>
          <cell r="JF19">
            <v>1605</v>
          </cell>
          <cell r="JG19">
            <v>1675</v>
          </cell>
          <cell r="JH19">
            <v>1636</v>
          </cell>
          <cell r="JI19">
            <v>1565</v>
          </cell>
        </row>
        <row r="20">
          <cell r="IU20">
            <v>598</v>
          </cell>
          <cell r="IV20">
            <v>611</v>
          </cell>
          <cell r="IW20">
            <v>618</v>
          </cell>
          <cell r="IX20">
            <v>608</v>
          </cell>
          <cell r="IY20">
            <v>582</v>
          </cell>
          <cell r="IZ20">
            <v>583</v>
          </cell>
          <cell r="JA20">
            <v>587</v>
          </cell>
          <cell r="JB20">
            <v>592</v>
          </cell>
          <cell r="JC20">
            <v>551</v>
          </cell>
          <cell r="JD20">
            <v>564</v>
          </cell>
          <cell r="JE20">
            <v>586</v>
          </cell>
          <cell r="JF20">
            <v>614</v>
          </cell>
          <cell r="JG20">
            <v>664</v>
          </cell>
          <cell r="JH20">
            <v>668</v>
          </cell>
          <cell r="JI20">
            <v>633</v>
          </cell>
        </row>
        <row r="21">
          <cell r="IU21">
            <v>1994</v>
          </cell>
          <cell r="IV21">
            <v>2012</v>
          </cell>
          <cell r="IW21">
            <v>1975</v>
          </cell>
          <cell r="IX21">
            <v>1885</v>
          </cell>
          <cell r="IY21">
            <v>1819</v>
          </cell>
          <cell r="IZ21">
            <v>1882</v>
          </cell>
          <cell r="JA21">
            <v>1897</v>
          </cell>
          <cell r="JB21">
            <v>1922</v>
          </cell>
          <cell r="JC21">
            <v>1943</v>
          </cell>
          <cell r="JD21">
            <v>1913</v>
          </cell>
          <cell r="JE21">
            <v>1932</v>
          </cell>
          <cell r="JF21">
            <v>2063</v>
          </cell>
          <cell r="JG21">
            <v>2190</v>
          </cell>
          <cell r="JH21">
            <v>2170</v>
          </cell>
          <cell r="JI21">
            <v>2028</v>
          </cell>
        </row>
        <row r="22">
          <cell r="IU22">
            <v>254</v>
          </cell>
          <cell r="IV22">
            <v>240</v>
          </cell>
          <cell r="IW22">
            <v>232</v>
          </cell>
          <cell r="IX22">
            <v>223</v>
          </cell>
          <cell r="IY22">
            <v>231</v>
          </cell>
          <cell r="IZ22">
            <v>220</v>
          </cell>
          <cell r="JA22">
            <v>214</v>
          </cell>
          <cell r="JB22">
            <v>211</v>
          </cell>
          <cell r="JC22">
            <v>215</v>
          </cell>
          <cell r="JD22">
            <v>227</v>
          </cell>
          <cell r="JE22">
            <v>235</v>
          </cell>
          <cell r="JF22">
            <v>239</v>
          </cell>
          <cell r="JG22">
            <v>255</v>
          </cell>
          <cell r="JH22">
            <v>259</v>
          </cell>
          <cell r="JI22">
            <v>249</v>
          </cell>
        </row>
        <row r="23">
          <cell r="IU23">
            <v>377</v>
          </cell>
          <cell r="IV23">
            <v>361</v>
          </cell>
          <cell r="IW23">
            <v>360</v>
          </cell>
          <cell r="IX23">
            <v>376</v>
          </cell>
          <cell r="IY23">
            <v>381</v>
          </cell>
          <cell r="IZ23">
            <v>397</v>
          </cell>
          <cell r="JA23">
            <v>396</v>
          </cell>
          <cell r="JB23">
            <v>409</v>
          </cell>
          <cell r="JC23">
            <v>403</v>
          </cell>
          <cell r="JD23">
            <v>412</v>
          </cell>
          <cell r="JE23">
            <v>386</v>
          </cell>
          <cell r="JF23">
            <v>411</v>
          </cell>
          <cell r="JG23">
            <v>429</v>
          </cell>
          <cell r="JH23">
            <v>432</v>
          </cell>
          <cell r="JI23">
            <v>419</v>
          </cell>
        </row>
        <row r="26">
          <cell r="IU26">
            <v>2287</v>
          </cell>
          <cell r="IV26">
            <v>2311</v>
          </cell>
          <cell r="IW26">
            <v>2343</v>
          </cell>
          <cell r="IX26">
            <v>2323</v>
          </cell>
          <cell r="IY26">
            <v>2312</v>
          </cell>
          <cell r="IZ26">
            <v>2341</v>
          </cell>
          <cell r="JA26">
            <v>2400</v>
          </cell>
          <cell r="JB26">
            <v>2419</v>
          </cell>
          <cell r="JC26">
            <v>2431</v>
          </cell>
          <cell r="JD26">
            <v>2514</v>
          </cell>
          <cell r="JE26">
            <v>2583</v>
          </cell>
          <cell r="JF26">
            <v>2657</v>
          </cell>
          <cell r="JG26">
            <v>2694</v>
          </cell>
          <cell r="JH26">
            <v>2615</v>
          </cell>
          <cell r="JI26">
            <v>2581</v>
          </cell>
        </row>
        <row r="27">
          <cell r="IU27">
            <v>941</v>
          </cell>
          <cell r="IV27">
            <v>968</v>
          </cell>
          <cell r="IW27">
            <v>970</v>
          </cell>
          <cell r="IX27">
            <v>943</v>
          </cell>
          <cell r="IY27">
            <v>922</v>
          </cell>
          <cell r="IZ27">
            <v>956</v>
          </cell>
          <cell r="JA27">
            <v>961</v>
          </cell>
          <cell r="JB27">
            <v>922</v>
          </cell>
          <cell r="JC27">
            <v>909</v>
          </cell>
          <cell r="JD27">
            <v>961</v>
          </cell>
          <cell r="JE27">
            <v>986</v>
          </cell>
          <cell r="JF27">
            <v>1002</v>
          </cell>
          <cell r="JG27">
            <v>1030</v>
          </cell>
          <cell r="JH27">
            <v>1012</v>
          </cell>
          <cell r="JI27">
            <v>996</v>
          </cell>
        </row>
        <row r="28">
          <cell r="IU28">
            <v>3095</v>
          </cell>
          <cell r="IV28">
            <v>3131</v>
          </cell>
          <cell r="IW28">
            <v>3137</v>
          </cell>
          <cell r="IX28">
            <v>3088</v>
          </cell>
          <cell r="IY28">
            <v>3033</v>
          </cell>
          <cell r="IZ28">
            <v>3123</v>
          </cell>
          <cell r="JA28">
            <v>3164</v>
          </cell>
          <cell r="JB28">
            <v>3156</v>
          </cell>
          <cell r="JC28">
            <v>3176</v>
          </cell>
          <cell r="JD28">
            <v>3230</v>
          </cell>
          <cell r="JE28">
            <v>3279</v>
          </cell>
          <cell r="JF28">
            <v>3311</v>
          </cell>
          <cell r="JG28">
            <v>3366</v>
          </cell>
          <cell r="JH28">
            <v>3354</v>
          </cell>
          <cell r="JI28">
            <v>3346</v>
          </cell>
        </row>
        <row r="29">
          <cell r="IU29">
            <v>370</v>
          </cell>
          <cell r="IV29">
            <v>360</v>
          </cell>
          <cell r="IW29">
            <v>361</v>
          </cell>
          <cell r="IX29">
            <v>357</v>
          </cell>
          <cell r="IY29">
            <v>343</v>
          </cell>
          <cell r="IZ29">
            <v>345</v>
          </cell>
          <cell r="JA29">
            <v>339</v>
          </cell>
          <cell r="JB29">
            <v>345</v>
          </cell>
          <cell r="JC29">
            <v>361</v>
          </cell>
          <cell r="JD29">
            <v>377</v>
          </cell>
          <cell r="JE29">
            <v>384</v>
          </cell>
          <cell r="JF29">
            <v>378</v>
          </cell>
          <cell r="JG29">
            <v>383</v>
          </cell>
          <cell r="JH29">
            <v>387</v>
          </cell>
          <cell r="JI29">
            <v>380</v>
          </cell>
        </row>
        <row r="30">
          <cell r="IU30">
            <v>576</v>
          </cell>
          <cell r="IV30">
            <v>562</v>
          </cell>
          <cell r="IW30">
            <v>571</v>
          </cell>
          <cell r="IX30">
            <v>585</v>
          </cell>
          <cell r="IY30">
            <v>583</v>
          </cell>
          <cell r="IZ30">
            <v>598</v>
          </cell>
          <cell r="JA30">
            <v>606</v>
          </cell>
          <cell r="JB30">
            <v>619</v>
          </cell>
          <cell r="JC30">
            <v>618</v>
          </cell>
          <cell r="JD30">
            <v>638</v>
          </cell>
          <cell r="JE30">
            <v>623</v>
          </cell>
          <cell r="JF30">
            <v>639</v>
          </cell>
          <cell r="JG30">
            <v>646</v>
          </cell>
          <cell r="JH30">
            <v>623</v>
          </cell>
          <cell r="JI30">
            <v>612</v>
          </cell>
        </row>
      </sheetData>
      <sheetData sheetId="2"/>
      <sheetData sheetId="3">
        <row r="4">
          <cell r="G4">
            <v>149362.15</v>
          </cell>
        </row>
        <row r="5">
          <cell r="G5">
            <v>149362.15</v>
          </cell>
        </row>
        <row r="6">
          <cell r="G6">
            <v>80864.566542</v>
          </cell>
        </row>
        <row r="7">
          <cell r="G7">
            <v>68497.587786999997</v>
          </cell>
        </row>
        <row r="8">
          <cell r="G8">
            <v>110000.67</v>
          </cell>
        </row>
        <row r="9">
          <cell r="G9">
            <v>39361.480000000003</v>
          </cell>
        </row>
        <row r="11">
          <cell r="G11">
            <v>5094.8713420000004</v>
          </cell>
        </row>
        <row r="12">
          <cell r="G12">
            <v>10176.372696</v>
          </cell>
        </row>
        <row r="13">
          <cell r="G13">
            <v>14590.718894</v>
          </cell>
        </row>
        <row r="14">
          <cell r="G14">
            <v>34417</v>
          </cell>
        </row>
        <row r="15">
          <cell r="G15">
            <v>31560</v>
          </cell>
        </row>
        <row r="16">
          <cell r="G16">
            <v>36552</v>
          </cell>
        </row>
        <row r="17">
          <cell r="G17">
            <v>16970</v>
          </cell>
        </row>
        <row r="20">
          <cell r="G20">
            <v>53841.393561000004</v>
          </cell>
        </row>
        <row r="21">
          <cell r="G21">
            <v>13870.977122</v>
          </cell>
        </row>
        <row r="22">
          <cell r="G22">
            <v>55755.751409000004</v>
          </cell>
        </row>
        <row r="23">
          <cell r="G23">
            <v>7833.0715870000004</v>
          </cell>
        </row>
        <row r="24">
          <cell r="G24">
            <v>18060.960650000001</v>
          </cell>
        </row>
        <row r="27">
          <cell r="G27">
            <v>53841.393561000004</v>
          </cell>
        </row>
        <row r="28">
          <cell r="G28">
            <v>13870.977122</v>
          </cell>
        </row>
        <row r="29">
          <cell r="G29">
            <v>55755.751409000004</v>
          </cell>
        </row>
        <row r="30">
          <cell r="G30">
            <v>7833.0715870000004</v>
          </cell>
        </row>
        <row r="31">
          <cell r="G31">
            <v>18060.960650000001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"/>
  <sheetViews>
    <sheetView tabSelected="1" zoomScaleNormal="100" workbookViewId="0">
      <pane xSplit="1" topLeftCell="B1" activePane="topRight" state="frozen"/>
      <selection pane="topRight" activeCell="R18" sqref="R18"/>
    </sheetView>
  </sheetViews>
  <sheetFormatPr baseColWidth="10" defaultColWidth="11.42578125" defaultRowHeight="12.75" x14ac:dyDescent="0.2"/>
  <cols>
    <col min="1" max="1" width="45.7109375" style="1" customWidth="1"/>
    <col min="2" max="2" width="4.28515625" style="1" customWidth="1"/>
    <col min="3" max="14" width="7.7109375" style="1" customWidth="1"/>
    <col min="15" max="18" width="7.85546875" style="1" customWidth="1"/>
    <col min="19" max="20" width="8.7109375" style="1" bestFit="1" customWidth="1"/>
    <col min="21" max="22" width="7.7109375" style="1" bestFit="1" customWidth="1"/>
    <col min="23" max="23" width="8.28515625" style="1" bestFit="1" customWidth="1"/>
    <col min="24" max="24" width="7.28515625" style="1" bestFit="1" customWidth="1"/>
    <col min="25" max="16384" width="11.42578125" style="1"/>
  </cols>
  <sheetData>
    <row r="1" spans="1:24" ht="14.25" x14ac:dyDescent="0.25">
      <c r="A1" s="7" t="s">
        <v>0</v>
      </c>
      <c r="B1" s="7" t="s">
        <v>46</v>
      </c>
      <c r="C1" s="18">
        <v>2004</v>
      </c>
      <c r="D1" s="18">
        <v>2005</v>
      </c>
      <c r="E1" s="18">
        <v>2006</v>
      </c>
      <c r="F1" s="18">
        <v>2007</v>
      </c>
      <c r="G1" s="18">
        <v>2008</v>
      </c>
      <c r="H1" s="18">
        <v>2009</v>
      </c>
      <c r="I1" s="18">
        <v>2010</v>
      </c>
      <c r="J1" s="18">
        <v>2011</v>
      </c>
      <c r="K1" s="18">
        <v>2012</v>
      </c>
      <c r="L1" s="18">
        <v>2013</v>
      </c>
      <c r="M1" s="18">
        <v>2014</v>
      </c>
      <c r="N1" s="18">
        <v>2015</v>
      </c>
      <c r="O1" s="18">
        <v>2016</v>
      </c>
      <c r="P1" s="18">
        <v>2017</v>
      </c>
      <c r="Q1" s="18">
        <v>2018</v>
      </c>
      <c r="R1" s="18">
        <v>2019</v>
      </c>
      <c r="S1" s="18">
        <v>2020</v>
      </c>
      <c r="T1" s="18">
        <v>2021</v>
      </c>
      <c r="U1" s="18">
        <v>2022</v>
      </c>
      <c r="V1" s="18">
        <v>2023</v>
      </c>
      <c r="W1" s="18">
        <v>2024</v>
      </c>
      <c r="X1" s="18">
        <v>2025</v>
      </c>
    </row>
    <row r="2" spans="1:24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x14ac:dyDescent="0.2">
      <c r="A3" s="1" t="s">
        <v>28</v>
      </c>
      <c r="B3" s="1">
        <v>1</v>
      </c>
      <c r="C3" s="9">
        <f>SUM(Monatswerte!C3:N3)/12</f>
        <v>7252.333333333333</v>
      </c>
      <c r="D3" s="9">
        <f>SUM(Monatswerte!O3:Z3)/12</f>
        <v>7076.333333333333</v>
      </c>
      <c r="E3" s="9">
        <f>SUM(Monatswerte!AG3:AL3)/12</f>
        <v>3004.3333333333335</v>
      </c>
      <c r="F3" s="9">
        <f>SUM(Monatswerte!AM3:AX3)/12</f>
        <v>5429.666666666667</v>
      </c>
      <c r="G3" s="9">
        <f>SUM(Monatswerte!AY3:BJ3)/12</f>
        <v>4867.583333333333</v>
      </c>
      <c r="H3" s="9">
        <f>SUM(Monatswerte!BK3:BV3)/12</f>
        <v>7049.666666666667</v>
      </c>
      <c r="I3" s="9">
        <f>SUM(Monatswerte!BW3:CH3)/12</f>
        <v>7311.083333333333</v>
      </c>
      <c r="J3" s="9">
        <f>SUM(Monatswerte!CI3:CT3)/12</f>
        <v>5529.25</v>
      </c>
      <c r="K3" s="9">
        <f>SUM(Monatswerte!CU3:DF3)/12</f>
        <v>5607.833333333333</v>
      </c>
      <c r="L3" s="9">
        <f>SUM(Monatswerte!DG3:DR3)/12</f>
        <v>6076.583333333333</v>
      </c>
      <c r="M3" s="9">
        <f>SUM(Monatswerte!DS3:ED3)/12</f>
        <v>5636.083333333333</v>
      </c>
      <c r="N3" s="9">
        <f>SUM(Monatswerte!EE3:EP3)/12</f>
        <v>6094.416666666667</v>
      </c>
      <c r="O3" s="9">
        <f>SUM(Monatswerte!EQ3:FB3)/12</f>
        <v>6874.333333333333</v>
      </c>
      <c r="P3" s="9">
        <f>SUM([1]Monatswerte!FC3:FN3)/12</f>
        <v>6860.083333333333</v>
      </c>
      <c r="Q3" s="9">
        <f>SUM([1]Monatswerte!FO3:FZ3)/12</f>
        <v>6180.333333333333</v>
      </c>
      <c r="R3" s="9">
        <f>SUM([1]Monatswerte!GA3:GL3)/12</f>
        <v>5717.583333333333</v>
      </c>
      <c r="S3" s="9">
        <f>SUM([1]Monatswerte!GM3:GX3)/12</f>
        <v>7381</v>
      </c>
      <c r="T3" s="9">
        <f>SUM([1]Monatswerte!GY3:HJ3)/12</f>
        <v>7832.833333333333</v>
      </c>
      <c r="U3" s="9">
        <f>SUM([1]Monatswerte!HK3:HV3)/12</f>
        <v>6105.416666666667</v>
      </c>
      <c r="V3" s="9">
        <f>SUM([1]Monatswerte!HW3:IH3)/12</f>
        <v>5183.833333333333</v>
      </c>
      <c r="W3" s="9">
        <f>SUM([2]Monatswerte!II3:IT3)/12</f>
        <v>6081.916666666667</v>
      </c>
      <c r="X3" s="9">
        <f>SUM([3]Monatswerte!IU3:JF3)/12</f>
        <v>7485.25</v>
      </c>
    </row>
    <row r="4" spans="1:24" ht="14.25" x14ac:dyDescent="0.25">
      <c r="A4" s="4" t="s">
        <v>1</v>
      </c>
      <c r="B4" s="4">
        <v>2</v>
      </c>
      <c r="C4" s="10">
        <f>SUM(Monatswerte!C4:N4)/12</f>
        <v>4718.916666666667</v>
      </c>
      <c r="D4" s="10">
        <f>SUM(Monatswerte!O4:Z4)/12</f>
        <v>4471</v>
      </c>
      <c r="E4" s="10">
        <f>SUM(Monatswerte!AG4:AL4)/12</f>
        <v>1791.8333333333333</v>
      </c>
      <c r="F4" s="10">
        <f>SUM(Monatswerte!AM4:AX4)/12</f>
        <v>3241.6666666666665</v>
      </c>
      <c r="G4" s="10">
        <f>SUM(Monatswerte!AY4:BJ4)/12</f>
        <v>3002.1666666666665</v>
      </c>
      <c r="H4" s="10">
        <f>SUM(Monatswerte!BK4:BV4)/12</f>
        <v>5124.166666666667</v>
      </c>
      <c r="I4" s="10">
        <f>SUM(Monatswerte!BW4:CH4)/12</f>
        <v>4982.25</v>
      </c>
      <c r="J4" s="10">
        <f>SUM(Monatswerte!CI4:CT4)/12</f>
        <v>3445.0833333333335</v>
      </c>
      <c r="K4" s="10">
        <f>SUM(Monatswerte!CU4:DF4)/12</f>
        <v>3506</v>
      </c>
      <c r="L4" s="10">
        <f>SUM(Monatswerte!DG4:DR4)/12</f>
        <v>3884.4166666666665</v>
      </c>
      <c r="M4" s="10">
        <f>SUM(Monatswerte!DS4:ED4)/12</f>
        <v>3557.3333333333335</v>
      </c>
      <c r="N4" s="10">
        <f>SUM(Monatswerte!EE4:EP4)/12</f>
        <v>3844.25</v>
      </c>
      <c r="O4" s="10">
        <f>SUM(Monatswerte!EQ4:FB4)/12</f>
        <v>4314.583333333333</v>
      </c>
      <c r="P4" s="10">
        <f>SUM([1]Monatswerte!FC4:FN4)/12</f>
        <v>4123.25</v>
      </c>
      <c r="Q4" s="10">
        <f>SUM([1]Monatswerte!FO4:FZ4)/12</f>
        <v>3349.25</v>
      </c>
      <c r="R4" s="10">
        <f>SUM([1]Monatswerte!GA4:GL4)/12</f>
        <v>2827.0833333333335</v>
      </c>
      <c r="S4" s="10">
        <f>SUM([1]Monatswerte!GM4:GX4)/12</f>
        <v>4292.083333333333</v>
      </c>
      <c r="T4" s="10">
        <f>SUM([1]Monatswerte!GY4:HJ4)/12</f>
        <v>4355.5</v>
      </c>
      <c r="U4" s="10">
        <f>SUM([1]Monatswerte!HK4:HV4)/12</f>
        <v>3289.0833333333335</v>
      </c>
      <c r="V4" s="10">
        <f>SUM([1]Monatswerte!HW4:IH4)/12</f>
        <v>2918.3333333333335</v>
      </c>
      <c r="W4" s="10">
        <f>SUM([2]Monatswerte!II4:IT4)/12</f>
        <v>3579.9166666666665</v>
      </c>
      <c r="X4" s="10">
        <f>SUM([3]Monatswerte!IU4:JF4)/12</f>
        <v>4609.416666666667</v>
      </c>
    </row>
    <row r="5" spans="1:24" x14ac:dyDescent="0.2">
      <c r="A5" s="1" t="s">
        <v>2</v>
      </c>
      <c r="B5" s="1">
        <v>3</v>
      </c>
      <c r="C5" s="9">
        <f>SUM(Monatswerte!C5:N5)/12</f>
        <v>4027.4166666666665</v>
      </c>
      <c r="D5" s="9">
        <f>SUM(Monatswerte!O5:Z5)/12</f>
        <v>3828.1666666666665</v>
      </c>
      <c r="E5" s="9">
        <f>SUM(Monatswerte!AG5:AL5)/12</f>
        <v>1561.0833333333333</v>
      </c>
      <c r="F5" s="9">
        <f>SUM(Monatswerte!AM5:AX5)/12</f>
        <v>2798.1666666666665</v>
      </c>
      <c r="G5" s="9">
        <f>SUM(Monatswerte!AY5:BJ5)/12</f>
        <v>2497.25</v>
      </c>
      <c r="H5" s="9">
        <f>SUM(Monatswerte!BK5:BV5)/12</f>
        <v>4051.8333333333335</v>
      </c>
      <c r="I5" s="9">
        <f>SUM(Monatswerte!BW5:CH5)/12</f>
        <v>4155.333333333333</v>
      </c>
      <c r="J5" s="9">
        <f>SUM(Monatswerte!CI5:CT5)/12</f>
        <v>3004</v>
      </c>
      <c r="K5" s="9">
        <f>SUM(Monatswerte!CU5:DF5)/12</f>
        <v>3056.5</v>
      </c>
      <c r="L5" s="9">
        <f>SUM(Monatswerte!DG5:DR5)/12</f>
        <v>3311</v>
      </c>
      <c r="M5" s="9">
        <f>SUM(Monatswerte!DS5:ED5)/12</f>
        <v>3099.4166666666665</v>
      </c>
      <c r="N5" s="9">
        <f>SUM(Monatswerte!EE5:EP5)/12</f>
        <v>3335.6666666666665</v>
      </c>
      <c r="O5" s="9">
        <f>SUM(Monatswerte!EQ5:FB5)/12</f>
        <v>3814</v>
      </c>
      <c r="P5" s="9">
        <f>SUM([1]Monatswerte!FC5:FN5)/12</f>
        <v>3777.1666666666665</v>
      </c>
      <c r="Q5" s="9">
        <f>SUM([1]Monatswerte!FO5:FZ5)/12</f>
        <v>3296.0833333333335</v>
      </c>
      <c r="R5" s="9">
        <f>SUM([1]Monatswerte!GA5:GL5)/12</f>
        <v>3087.6666666666665</v>
      </c>
      <c r="S5" s="9">
        <f>SUM([1]Monatswerte!GM5:GX5)/12</f>
        <v>4074.75</v>
      </c>
      <c r="T5" s="9">
        <f>SUM([1]Monatswerte!GY5:HJ5)/12</f>
        <v>4225.666666666667</v>
      </c>
      <c r="U5" s="9">
        <f>SUM([1]Monatswerte!HK5:HV5)/12</f>
        <v>3260.6666666666665</v>
      </c>
      <c r="V5" s="9">
        <f>SUM([1]Monatswerte!HW5:IH5)/12</f>
        <v>2800.0833333333335</v>
      </c>
      <c r="W5" s="9">
        <f>SUM([2]Monatswerte!II5:IT5)/12</f>
        <v>3413.5833333333335</v>
      </c>
      <c r="X5" s="9">
        <f>SUM([3]Monatswerte!IU5:JF5)/12</f>
        <v>4153.583333333333</v>
      </c>
    </row>
    <row r="6" spans="1:24" x14ac:dyDescent="0.2">
      <c r="A6" s="1" t="s">
        <v>3</v>
      </c>
      <c r="B6" s="1">
        <v>4</v>
      </c>
      <c r="C6" s="9">
        <f>SUM(Monatswerte!C6:N6)/12</f>
        <v>3224.9166666666665</v>
      </c>
      <c r="D6" s="9">
        <f>SUM(Monatswerte!O6:Z6)/12</f>
        <v>3248.1666666666665</v>
      </c>
      <c r="E6" s="9">
        <f>SUM(Monatswerte!AG6:AL6)/12</f>
        <v>1443.25</v>
      </c>
      <c r="F6" s="9">
        <f>SUM(Monatswerte!AM6:AX6)/12</f>
        <v>2631.5</v>
      </c>
      <c r="G6" s="9">
        <f>SUM(Monatswerte!AY6:BJ6)/12</f>
        <v>2370.3333333333335</v>
      </c>
      <c r="H6" s="9">
        <f>SUM(Monatswerte!BK6:BV6)/12</f>
        <v>2997.8333333333335</v>
      </c>
      <c r="I6" s="9">
        <f>SUM(Monatswerte!BW6:CH6)/12</f>
        <v>3155.75</v>
      </c>
      <c r="J6" s="9">
        <f>SUM(Monatswerte!CI6:CT6)/12</f>
        <v>2525.25</v>
      </c>
      <c r="K6" s="9">
        <f>SUM(Monatswerte!CU6:DF6)/12</f>
        <v>2551.3333333333335</v>
      </c>
      <c r="L6" s="9">
        <f>SUM(Monatswerte!DG6:DR6)/12</f>
        <v>2765.5833333333335</v>
      </c>
      <c r="M6" s="9">
        <f>SUM(Monatswerte!DS6:ED6)/12</f>
        <v>2536.6666666666665</v>
      </c>
      <c r="N6" s="9">
        <f>SUM(Monatswerte!EE6:EP6)/12</f>
        <v>2758.75</v>
      </c>
      <c r="O6" s="9">
        <f>SUM(Monatswerte!EQ6:FB6)/12</f>
        <v>3060.3333333333335</v>
      </c>
      <c r="P6" s="9">
        <f>SUM([1]Monatswerte!FC6:FN6)/12</f>
        <v>3082.9166666666665</v>
      </c>
      <c r="Q6" s="9">
        <f>SUM([1]Monatswerte!FO6:FZ6)/12</f>
        <v>2884.25</v>
      </c>
      <c r="R6" s="9">
        <f>SUM([1]Monatswerte!GA6:GL6)/12</f>
        <v>2629.9166666666665</v>
      </c>
      <c r="S6" s="9">
        <f>SUM([1]Monatswerte!GM6:GX6)/12</f>
        <v>3306.25</v>
      </c>
      <c r="T6" s="9">
        <f>SUM([1]Monatswerte!GY6:HJ6)/12</f>
        <v>3601.9166666666665</v>
      </c>
      <c r="U6" s="9">
        <f>SUM([1]Monatswerte!HK6:HV6)/12</f>
        <v>2844.75</v>
      </c>
      <c r="V6" s="9">
        <f>SUM([1]Monatswerte!HW6:IH6)/12</f>
        <v>2383.75</v>
      </c>
      <c r="W6" s="9">
        <f>SUM([2]Monatswerte!II6:IT6)/12</f>
        <v>2668.3333333333335</v>
      </c>
      <c r="X6" s="9">
        <f>SUM([3]Monatswerte!IU6:JF6)/12</f>
        <v>3331.6666666666665</v>
      </c>
    </row>
    <row r="7" spans="1:24" x14ac:dyDescent="0.2">
      <c r="A7" s="1" t="s">
        <v>4</v>
      </c>
      <c r="B7" s="1">
        <v>5</v>
      </c>
      <c r="C7" s="9">
        <f>SUM(Monatswerte!C7:N7)/12</f>
        <v>4205.333333333333</v>
      </c>
      <c r="D7" s="9">
        <f>SUM(Monatswerte!O7:Z7)/12</f>
        <v>4219.25</v>
      </c>
      <c r="E7" s="9">
        <f>SUM(Monatswerte!AG7:AL7)/12</f>
        <v>1775.1666666666667</v>
      </c>
      <c r="F7" s="9">
        <f>SUM(Monatswerte!AM7:AX7)/12</f>
        <v>3078.4166666666665</v>
      </c>
      <c r="G7" s="9">
        <f>SUM(Monatswerte!AY7:BJ7)/12</f>
        <v>2646</v>
      </c>
      <c r="H7" s="9">
        <f>SUM(Monatswerte!BK7:BV7)/12</f>
        <v>3904.5833333333335</v>
      </c>
      <c r="I7" s="9">
        <f>SUM(Monatswerte!BW7:CH7)/12</f>
        <v>4090.0833333333335</v>
      </c>
      <c r="J7" s="9">
        <f>SUM(Monatswerte!CI7:CT7)/12</f>
        <v>3169.4166666666665</v>
      </c>
      <c r="K7" s="9">
        <f>SUM(Monatswerte!CU7:DF7)/12</f>
        <v>3233.3333333333335</v>
      </c>
      <c r="L7" s="9">
        <f>SUM(Monatswerte!DG7:DR7)/12</f>
        <v>3455.5833333333335</v>
      </c>
      <c r="M7" s="9">
        <f>SUM(Monatswerte!DS7:ED7)/12</f>
        <v>3163.5</v>
      </c>
      <c r="N7" s="9">
        <f>SUM(Monatswerte!EE7:EP7)/12</f>
        <v>3388.4166666666665</v>
      </c>
      <c r="O7" s="9">
        <f>SUM(Monatswerte!EQ7:FB7)/12</f>
        <v>3807.4166666666665</v>
      </c>
      <c r="P7" s="9">
        <f>SUM([1]Monatswerte!FC7:FN7)/12</f>
        <v>3749.9166666666665</v>
      </c>
      <c r="Q7" s="9">
        <f>SUM([1]Monatswerte!FO7:FZ7)/12</f>
        <v>3334.9166666666665</v>
      </c>
      <c r="R7" s="9">
        <f>SUM([1]Monatswerte!GA7:GL7)/12</f>
        <v>2953.5</v>
      </c>
      <c r="S7" s="9">
        <f>SUM([1]Monatswerte!GM7:GX7)/12</f>
        <v>3855</v>
      </c>
      <c r="T7" s="9">
        <f>SUM([1]Monatswerte!GY7:HJ7)/12</f>
        <v>3899.3333333333335</v>
      </c>
      <c r="U7" s="9">
        <f>SUM([1]Monatswerte!HK7:HV7)/12</f>
        <v>2961.1666666666665</v>
      </c>
      <c r="V7" s="9">
        <f>SUM([1]Monatswerte!HW7:IH7)/12</f>
        <v>2438.9166666666665</v>
      </c>
      <c r="W7" s="9">
        <f>SUM([2]Monatswerte!II7:IT7)/12</f>
        <v>2759.8333333333335</v>
      </c>
      <c r="X7" s="9">
        <f>SUM([3]Monatswerte!IU7:JF7)/12</f>
        <v>3424.3333333333335</v>
      </c>
    </row>
    <row r="8" spans="1:24" x14ac:dyDescent="0.2">
      <c r="A8" s="1" t="s">
        <v>5</v>
      </c>
      <c r="B8" s="1">
        <v>6</v>
      </c>
      <c r="C8" s="9">
        <f>SUM(Monatswerte!C8:N8)/12</f>
        <v>3047</v>
      </c>
      <c r="D8" s="9">
        <f>SUM(Monatswerte!O8:Z8)/12</f>
        <v>2857.0833333333335</v>
      </c>
      <c r="E8" s="9">
        <f>SUM(Monatswerte!AG8:AL8)/12</f>
        <v>1229.1666666666667</v>
      </c>
      <c r="F8" s="9">
        <f>SUM(Monatswerte!AM8:AX8)/12</f>
        <v>2351.25</v>
      </c>
      <c r="G8" s="9">
        <f>SUM(Monatswerte!AY8:BJ8)/12</f>
        <v>2221.5833333333335</v>
      </c>
      <c r="H8" s="9">
        <f>SUM(Monatswerte!BK8:BV8)/12</f>
        <v>3145.0833333333335</v>
      </c>
      <c r="I8" s="9">
        <f>SUM(Monatswerte!BW8:CH8)/12</f>
        <v>3221</v>
      </c>
      <c r="J8" s="9">
        <f>SUM(Monatswerte!CI8:CT8)/12</f>
        <v>2359.0833333333335</v>
      </c>
      <c r="K8" s="9">
        <f>SUM(Monatswerte!CU8:DF8)/12</f>
        <v>2374.5</v>
      </c>
      <c r="L8" s="9">
        <f>SUM(Monatswerte!DG8:DR8)/12</f>
        <v>2621</v>
      </c>
      <c r="M8" s="9">
        <f>SUM(Monatswerte!DS8:ED8)/12</f>
        <v>2472.5833333333335</v>
      </c>
      <c r="N8" s="9">
        <f>SUM(Monatswerte!EE8:EP8)/12</f>
        <v>2706</v>
      </c>
      <c r="O8" s="9">
        <f>SUM(Monatswerte!EQ8:FB8)/12</f>
        <v>3066.9166666666665</v>
      </c>
      <c r="P8" s="9">
        <f>SUM([1]Monatswerte!FC8:FN8)/12</f>
        <v>3110.1666666666665</v>
      </c>
      <c r="Q8" s="9">
        <f>SUM([1]Monatswerte!FO8:FZ8)/12</f>
        <v>2845.4166666666665</v>
      </c>
      <c r="R8" s="9">
        <f>SUM([1]Monatswerte!GA8:GL8)/12</f>
        <v>2764.0833333333335</v>
      </c>
      <c r="S8" s="9">
        <f>SUM([1]Monatswerte!GM8:GX8)/12</f>
        <v>3526</v>
      </c>
      <c r="T8" s="9">
        <f>SUM([1]Monatswerte!GY8:HJ8)/12</f>
        <v>3933.5</v>
      </c>
      <c r="U8" s="9">
        <f>SUM([1]Monatswerte!HK8:HV8)/12</f>
        <v>3144.25</v>
      </c>
      <c r="V8" s="9">
        <f>SUM([1]Monatswerte!HW8:IH8)/12</f>
        <v>2744.9166666666665</v>
      </c>
      <c r="W8" s="9">
        <f>SUM([2]Monatswerte!II8:IT8)/12</f>
        <v>3322.0833333333335</v>
      </c>
      <c r="X8" s="9">
        <f>SUM([3]Monatswerte!IU8:JF8)/12</f>
        <v>4060.9166666666665</v>
      </c>
    </row>
    <row r="9" spans="1:24" ht="14.25" x14ac:dyDescent="0.25">
      <c r="A9" s="4" t="s">
        <v>45</v>
      </c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x14ac:dyDescent="0.2">
      <c r="A10" s="1" t="s">
        <v>35</v>
      </c>
      <c r="B10" s="1">
        <v>7</v>
      </c>
      <c r="C10" s="9">
        <f>SUM(Monatswerte!C10:N10)/12</f>
        <v>575.58333333333337</v>
      </c>
      <c r="D10" s="9">
        <f>SUM(Monatswerte!O10:Z10)/12</f>
        <v>556.33333333333337</v>
      </c>
      <c r="E10" s="9">
        <f>SUM(Monatswerte!AG10:AL10)/12</f>
        <v>271.33333333333331</v>
      </c>
      <c r="F10" s="9">
        <f>SUM(Monatswerte!AM10:AX10)/12</f>
        <v>452.75</v>
      </c>
      <c r="G10" s="9">
        <f>SUM(Monatswerte!AY10:BJ10)/12</f>
        <v>421.25</v>
      </c>
      <c r="H10" s="9">
        <f>SUM(Monatswerte!BK10:BV10)/12</f>
        <v>485.66666666666669</v>
      </c>
      <c r="I10" s="9">
        <f>SUM(Monatswerte!BW10:CH10)/12</f>
        <v>423.25</v>
      </c>
      <c r="J10" s="9">
        <f>SUM(Monatswerte!CI10:CT10)/12</f>
        <v>296.58333333333331</v>
      </c>
      <c r="K10" s="9">
        <f>SUM(Monatswerte!CU10:DF10)/12</f>
        <v>293.5</v>
      </c>
      <c r="L10" s="9">
        <f>SUM(Monatswerte!DG10:DR10)/12</f>
        <v>310</v>
      </c>
      <c r="M10" s="9">
        <f>SUM(Monatswerte!DS10:ED10)/12</f>
        <v>253</v>
      </c>
      <c r="N10" s="9">
        <f>SUM(Monatswerte!EE10:EP10)/12</f>
        <v>296.83333333333331</v>
      </c>
      <c r="O10" s="9">
        <f>SUM(Monatswerte!EQ10:FB10)/12</f>
        <v>285.66666666666669</v>
      </c>
      <c r="P10" s="9">
        <f>SUM([1]Monatswerte!FC10:FN10)/12</f>
        <v>281.5</v>
      </c>
      <c r="Q10" s="9">
        <f>SUM([1]Monatswerte!FO10:FZ10)/12</f>
        <v>257.33333333333331</v>
      </c>
      <c r="R10" s="9">
        <f>SUM([1]Monatswerte!GA10:GL10)/12</f>
        <v>243.16666666666666</v>
      </c>
      <c r="S10" s="9">
        <f>SUM([1]Monatswerte!GM10:GX10)/12</f>
        <v>273.16666666666669</v>
      </c>
      <c r="T10" s="9">
        <f>SUM([1]Monatswerte!GY10:HJ10)/12</f>
        <v>238.16666666666666</v>
      </c>
      <c r="U10" s="9">
        <f>SUM([1]Monatswerte!HK10:HV10)/12</f>
        <v>165.25</v>
      </c>
      <c r="V10" s="9">
        <f>SUM([1]Monatswerte!HW10:IH10)/12</f>
        <v>164.66666666666666</v>
      </c>
      <c r="W10" s="9">
        <f>SUM([2]Monatswerte!II10:IT10)/12</f>
        <v>190.41666666666666</v>
      </c>
      <c r="X10" s="9">
        <f>SUM([3]Monatswerte!IU10:JF10)/12</f>
        <v>261.58333333333331</v>
      </c>
    </row>
    <row r="11" spans="1:24" x14ac:dyDescent="0.2">
      <c r="A11" s="1" t="s">
        <v>36</v>
      </c>
      <c r="B11" s="1">
        <v>8</v>
      </c>
      <c r="C11" s="9">
        <f>SUM(Monatswerte!C11:N11)/12</f>
        <v>1104.8333333333333</v>
      </c>
      <c r="D11" s="9">
        <f>SUM(Monatswerte!O11:Z11)/12</f>
        <v>1063.25</v>
      </c>
      <c r="E11" s="9">
        <f>SUM(Monatswerte!AG11:AL11)/12</f>
        <v>409.58333333333331</v>
      </c>
      <c r="F11" s="9">
        <f>SUM(Monatswerte!AM11:AX11)/12</f>
        <v>737.08333333333337</v>
      </c>
      <c r="G11" s="9">
        <f>SUM(Monatswerte!AY11:BJ11)/12</f>
        <v>606.58333333333337</v>
      </c>
      <c r="H11" s="9">
        <f>SUM(Monatswerte!BK11:BV11)/12</f>
        <v>1010.5833333333334</v>
      </c>
      <c r="I11" s="9">
        <f>SUM(Monatswerte!BW11:CH11)/12</f>
        <v>958.08333333333337</v>
      </c>
      <c r="J11" s="9">
        <f>SUM(Monatswerte!CI11:CT11)/12</f>
        <v>649.5</v>
      </c>
      <c r="K11" s="9">
        <f>SUM(Monatswerte!CU11:DF11)/12</f>
        <v>674.08333333333337</v>
      </c>
      <c r="L11" s="9">
        <f>SUM(Monatswerte!DG11:DR11)/12</f>
        <v>714.58333333333337</v>
      </c>
      <c r="M11" s="9">
        <f>SUM(Monatswerte!DS11:ED11)/12</f>
        <v>625.16666666666663</v>
      </c>
      <c r="N11" s="9">
        <f>SUM(Monatswerte!EE11:EP11)/12</f>
        <v>680.58333333333337</v>
      </c>
      <c r="O11" s="9">
        <f>SUM(Monatswerte!EQ11:FB11)/12</f>
        <v>691.16666666666663</v>
      </c>
      <c r="P11" s="9">
        <f>SUM([1]Monatswerte!FC11:FN11)/12</f>
        <v>602.91666666666663</v>
      </c>
      <c r="Q11" s="9">
        <f>SUM([1]Monatswerte!FO11:FZ11)/12</f>
        <v>538.33333333333337</v>
      </c>
      <c r="R11" s="9">
        <f>SUM([1]Monatswerte!GA11:GL11)/12</f>
        <v>476</v>
      </c>
      <c r="S11" s="9">
        <f>SUM([1]Monatswerte!GM11:GX11)/12</f>
        <v>664.83333333333337</v>
      </c>
      <c r="T11" s="9">
        <f>SUM([1]Monatswerte!GY11:HJ11)/12</f>
        <v>600.33333333333337</v>
      </c>
      <c r="U11" s="9">
        <f>SUM([1]Monatswerte!HK11:HV11)/12</f>
        <v>395.33333333333331</v>
      </c>
      <c r="V11" s="9">
        <f>SUM([1]Monatswerte!HW11:IH11)/12</f>
        <v>358.58333333333331</v>
      </c>
      <c r="W11" s="9">
        <f>SUM([2]Monatswerte!II11:IT11)/12</f>
        <v>466.91666666666669</v>
      </c>
      <c r="X11" s="9">
        <f>SUM([3]Monatswerte!IU11:JF11)/12</f>
        <v>576.83333333333337</v>
      </c>
    </row>
    <row r="12" spans="1:24" x14ac:dyDescent="0.2">
      <c r="A12" s="1" t="s">
        <v>37</v>
      </c>
      <c r="B12" s="1">
        <v>9</v>
      </c>
      <c r="C12" s="9">
        <f>SUM(Monatswerte!C12:N12)/12</f>
        <v>894.25</v>
      </c>
      <c r="D12" s="9">
        <f>SUM(Monatswerte!O12:Z12)/12</f>
        <v>791.08333333333337</v>
      </c>
      <c r="E12" s="9">
        <f>SUM(Monatswerte!AG12:AL12)/12</f>
        <v>335.83333333333331</v>
      </c>
      <c r="F12" s="9">
        <f>SUM(Monatswerte!AM12:AX12)/12</f>
        <v>626.25</v>
      </c>
      <c r="G12" s="9">
        <f>SUM(Monatswerte!AY12:BJ12)/12</f>
        <v>591.25</v>
      </c>
      <c r="H12" s="9">
        <f>SUM(Monatswerte!BK12:BV12)/12</f>
        <v>918.33333333333337</v>
      </c>
      <c r="I12" s="9">
        <f>SUM(Monatswerte!BW12:CH12)/12</f>
        <v>935.41666666666663</v>
      </c>
      <c r="J12" s="9">
        <f>SUM(Monatswerte!CI12:CT12)/12</f>
        <v>693.75</v>
      </c>
      <c r="K12" s="9">
        <f>SUM(Monatswerte!CU12:DF12)/12</f>
        <v>730.33333333333337</v>
      </c>
      <c r="L12" s="9">
        <f>SUM(Monatswerte!DG12:DR12)/12</f>
        <v>809.08333333333337</v>
      </c>
      <c r="M12" s="9">
        <f>SUM(Monatswerte!DS12:ED12)/12</f>
        <v>760.91666666666663</v>
      </c>
      <c r="N12" s="9">
        <f>SUM(Monatswerte!EE12:EP12)/12</f>
        <v>791.66666666666663</v>
      </c>
      <c r="O12" s="9">
        <f>SUM(Monatswerte!EQ12:FB12)/12</f>
        <v>920.91666666666663</v>
      </c>
      <c r="P12" s="9">
        <f>SUM([1]Monatswerte!FC12:FN12)/12</f>
        <v>871.83333333333337</v>
      </c>
      <c r="Q12" s="9">
        <f>SUM([1]Monatswerte!FO12:FZ12)/12</f>
        <v>767.66666666666663</v>
      </c>
      <c r="R12" s="9">
        <f>SUM([1]Monatswerte!GA12:GL12)/12</f>
        <v>729</v>
      </c>
      <c r="S12" s="9">
        <f>SUM([1]Monatswerte!GM12:GX12)/12</f>
        <v>951</v>
      </c>
      <c r="T12" s="9">
        <f>SUM([1]Monatswerte!GY12:HJ12)/12</f>
        <v>921.83333333333337</v>
      </c>
      <c r="U12" s="9">
        <f>SUM([1]Monatswerte!HK12:HV12)/12</f>
        <v>695.75</v>
      </c>
      <c r="V12" s="9">
        <f>SUM([1]Monatswerte!HW12:IH12)/12</f>
        <v>581.66666666666663</v>
      </c>
      <c r="W12" s="9">
        <f>SUM([2]Monatswerte!II12:IT12)/12</f>
        <v>715.66666666666663</v>
      </c>
      <c r="X12" s="9">
        <f>SUM([3]Monatswerte!IU12:JF12)/12</f>
        <v>858.25</v>
      </c>
    </row>
    <row r="13" spans="1:24" x14ac:dyDescent="0.2">
      <c r="A13" s="1" t="s">
        <v>38</v>
      </c>
      <c r="B13" s="1">
        <v>10</v>
      </c>
      <c r="C13" s="9">
        <f>SUM(Monatswerte!C13:N13)/12</f>
        <v>1661.25</v>
      </c>
      <c r="D13" s="9">
        <f>SUM(Monatswerte!O13:Z13)/12</f>
        <v>1560.5</v>
      </c>
      <c r="E13" s="9">
        <f>SUM(Monatswerte!AG13:AL13)/12</f>
        <v>590.91666666666663</v>
      </c>
      <c r="F13" s="9">
        <f>SUM(Monatswerte!AM13:AX13)/12</f>
        <v>1075.75</v>
      </c>
      <c r="G13" s="9">
        <f>SUM(Monatswerte!AY13:BJ13)/12</f>
        <v>975.66666666666663</v>
      </c>
      <c r="H13" s="9">
        <f>SUM(Monatswerte!BK13:BV13)/12</f>
        <v>1451.25</v>
      </c>
      <c r="I13" s="9">
        <f>SUM(Monatswerte!BW13:CH13)/12</f>
        <v>1477.3333333333333</v>
      </c>
      <c r="J13" s="9">
        <f>SUM(Monatswerte!CI13:CT13)/12</f>
        <v>1102.3333333333333</v>
      </c>
      <c r="K13" s="9">
        <f>SUM(Monatswerte!CU13:DF13)/12</f>
        <v>1170.5</v>
      </c>
      <c r="L13" s="9">
        <f>SUM(Monatswerte!DG13:DR13)/12</f>
        <v>1303.6666666666667</v>
      </c>
      <c r="M13" s="9">
        <f>SUM(Monatswerte!DS13:ED13)/12</f>
        <v>1256.5</v>
      </c>
      <c r="N13" s="9">
        <f>SUM(Monatswerte!EE13:EP13)/12</f>
        <v>1354.0833333333333</v>
      </c>
      <c r="O13" s="9">
        <f>SUM(Monatswerte!EQ13:FB13)/12</f>
        <v>1598.8333333333333</v>
      </c>
      <c r="P13" s="9">
        <f>SUM([1]Monatswerte!FC13:FN13)/12</f>
        <v>1643.25</v>
      </c>
      <c r="Q13" s="9">
        <f>SUM([1]Monatswerte!FO13:FZ13)/12</f>
        <v>1441.75</v>
      </c>
      <c r="R13" s="9">
        <f>SUM([1]Monatswerte!GA13:GL13)/12</f>
        <v>1380.4166666666667</v>
      </c>
      <c r="S13" s="9">
        <f>SUM([1]Monatswerte!GM13:GX13)/12</f>
        <v>1749</v>
      </c>
      <c r="T13" s="9">
        <f>SUM([1]Monatswerte!GY13:HJ13)/12</f>
        <v>1940.6666666666667</v>
      </c>
      <c r="U13" s="9">
        <f>SUM([1]Monatswerte!HK13:HV13)/12</f>
        <v>1538.6666666666667</v>
      </c>
      <c r="V13" s="9">
        <f>SUM([1]Monatswerte!HW13:IH13)/12</f>
        <v>1327.0833333333333</v>
      </c>
      <c r="W13" s="9">
        <f>SUM([2]Monatswerte!II13:IT13)/12</f>
        <v>1522.0833333333333</v>
      </c>
      <c r="X13" s="9">
        <f>SUM([3]Monatswerte!IU13:JF13)/12</f>
        <v>1881.6666666666667</v>
      </c>
    </row>
    <row r="14" spans="1:24" x14ac:dyDescent="0.2">
      <c r="A14" s="1" t="s">
        <v>39</v>
      </c>
      <c r="B14" s="1">
        <v>11</v>
      </c>
      <c r="C14" s="9">
        <f>SUM(Monatswerte!C14:N14)/12</f>
        <v>1564</v>
      </c>
      <c r="D14" s="9">
        <f>SUM(Monatswerte!O14:Z14)/12</f>
        <v>1574.3333333333333</v>
      </c>
      <c r="E14" s="9">
        <f>SUM(Monatswerte!AG14:AL14)/12</f>
        <v>683.58333333333337</v>
      </c>
      <c r="F14" s="9">
        <f>SUM(Monatswerte!AM14:AX14)/12</f>
        <v>1218.0833333333333</v>
      </c>
      <c r="G14" s="9">
        <f>SUM(Monatswerte!AY14:BJ14)/12</f>
        <v>1089.6666666666667</v>
      </c>
      <c r="H14" s="9">
        <f>SUM(Monatswerte!BK14:BV14)/12</f>
        <v>1545.5</v>
      </c>
      <c r="I14" s="9">
        <f>SUM(Monatswerte!BW14:CH14)/12</f>
        <v>1591.0833333333333</v>
      </c>
      <c r="J14" s="9">
        <f>SUM(Monatswerte!CI14:CT14)/12</f>
        <v>1216.5833333333333</v>
      </c>
      <c r="K14" s="9">
        <f>SUM(Monatswerte!CU14:DF14)/12</f>
        <v>1212.8333333333333</v>
      </c>
      <c r="L14" s="9">
        <f>SUM(Monatswerte!DG14:DR14)/12</f>
        <v>1313.8333333333333</v>
      </c>
      <c r="M14" s="9">
        <f>SUM(Monatswerte!DS14:ED14)/12</f>
        <v>1211.1666666666667</v>
      </c>
      <c r="N14" s="9">
        <f>SUM(Monatswerte!EE14:EP14)/12</f>
        <v>1262.3333333333333</v>
      </c>
      <c r="O14" s="9">
        <f>SUM(Monatswerte!EQ14:FB14)/12</f>
        <v>1397.25</v>
      </c>
      <c r="P14" s="9">
        <f>SUM([1]Monatswerte!FC14:FN14)/12</f>
        <v>1346.0833333333333</v>
      </c>
      <c r="Q14" s="9">
        <f>SUM([1]Monatswerte!FO14:FZ14)/12</f>
        <v>1209.6666666666667</v>
      </c>
      <c r="R14" s="9">
        <f>SUM([1]Monatswerte!GA14:GL14)/12</f>
        <v>1124.5</v>
      </c>
      <c r="S14" s="9">
        <f>SUM([1]Monatswerte!GM14:GX14)/12</f>
        <v>1496.5833333333333</v>
      </c>
      <c r="T14" s="9">
        <f>SUM([1]Monatswerte!GY14:HJ14)/12</f>
        <v>1605.25</v>
      </c>
      <c r="U14" s="9">
        <f>SUM([1]Monatswerte!HK14:HV14)/12</f>
        <v>1235.4166666666667</v>
      </c>
      <c r="V14" s="9">
        <f>SUM([1]Monatswerte!HW14:IH14)/12</f>
        <v>1060.25</v>
      </c>
      <c r="W14" s="9">
        <f>SUM([2]Monatswerte!II14:IT14)/12</f>
        <v>1249.4166666666667</v>
      </c>
      <c r="X14" s="9">
        <f>SUM([3]Monatswerte!IU14:JF14)/12</f>
        <v>1609.25</v>
      </c>
    </row>
    <row r="15" spans="1:24" x14ac:dyDescent="0.2">
      <c r="A15" s="1" t="s">
        <v>40</v>
      </c>
      <c r="B15" s="1">
        <v>12</v>
      </c>
      <c r="C15" s="9">
        <f>SUM(Monatswerte!C15:N15)/12</f>
        <v>1107.9166666666667</v>
      </c>
      <c r="D15" s="9">
        <f>SUM(Monatswerte!O15:Z15)/12</f>
        <v>1157.0833333333333</v>
      </c>
      <c r="E15" s="9">
        <f>SUM(Monatswerte!AG15:AL15)/12</f>
        <v>498.83333333333331</v>
      </c>
      <c r="F15" s="9">
        <f>SUM(Monatswerte!AM15:AX15)/12</f>
        <v>899.33333333333337</v>
      </c>
      <c r="G15" s="9">
        <f>SUM(Monatswerte!AY15:BJ15)/12</f>
        <v>815.33333333333337</v>
      </c>
      <c r="H15" s="9">
        <f>SUM(Monatswerte!BK15:BV15)/12</f>
        <v>1185</v>
      </c>
      <c r="I15" s="9">
        <f>SUM(Monatswerte!BW15:CH15)/12</f>
        <v>1358.9166666666667</v>
      </c>
      <c r="J15" s="9">
        <f>SUM(Monatswerte!CI15:CT15)/12</f>
        <v>1086.3333333333333</v>
      </c>
      <c r="K15" s="9">
        <f>SUM(Monatswerte!CU15:DF15)/12</f>
        <v>1096.5833333333333</v>
      </c>
      <c r="L15" s="9">
        <f>SUM(Monatswerte!DG15:DR15)/12</f>
        <v>1203.3333333333333</v>
      </c>
      <c r="M15" s="9">
        <f>SUM(Monatswerte!DS15:ED15)/12</f>
        <v>1101.9166666666667</v>
      </c>
      <c r="N15" s="9">
        <f>SUM(Monatswerte!EE15:EP15)/12</f>
        <v>1231.25</v>
      </c>
      <c r="O15" s="9">
        <f>SUM(Monatswerte!EQ15:FB15)/12</f>
        <v>1431.5</v>
      </c>
      <c r="P15" s="9">
        <f>SUM([1]Monatswerte!FC15:FN15)/12</f>
        <v>1543.4166666666667</v>
      </c>
      <c r="Q15" s="9">
        <f>SUM([1]Monatswerte!FO15:FZ15)/12</f>
        <v>1400.75</v>
      </c>
      <c r="R15" s="9">
        <f>SUM([1]Monatswerte!GA15:GL15)/12</f>
        <v>1228.5833333333333</v>
      </c>
      <c r="S15" s="9">
        <f>SUM([1]Monatswerte!GM15:GX15)/12</f>
        <v>1577.25</v>
      </c>
      <c r="T15" s="9">
        <f>SUM([1]Monatswerte!GY15:HJ15)/12</f>
        <v>1721.75</v>
      </c>
      <c r="U15" s="9">
        <f>SUM([1]Monatswerte!HK15:HV15)/12</f>
        <v>1343.6666666666667</v>
      </c>
      <c r="V15" s="9">
        <f>SUM([1]Monatswerte!HW15:IH15)/12</f>
        <v>1067.25</v>
      </c>
      <c r="W15" s="9">
        <f>SUM([2]Monatswerte!II15:IT15)/12</f>
        <v>1268</v>
      </c>
      <c r="X15" s="9">
        <f>SUM([3]Monatswerte!IU15:JF15)/12</f>
        <v>1464.5</v>
      </c>
    </row>
    <row r="16" spans="1:24" x14ac:dyDescent="0.2">
      <c r="A16" s="1" t="s">
        <v>41</v>
      </c>
      <c r="B16" s="1">
        <v>13</v>
      </c>
      <c r="C16" s="9">
        <f>SUM(Monatswerte!C16:N16)/12</f>
        <v>344.5</v>
      </c>
      <c r="D16" s="9">
        <f>SUM(Monatswerte!O16:Z16)/12</f>
        <v>373.75</v>
      </c>
      <c r="E16" s="9">
        <f>SUM(Monatswerte!AG16:AL16)/12</f>
        <v>214.25</v>
      </c>
      <c r="F16" s="9">
        <f>SUM(Monatswerte!AM16:AX16)/12</f>
        <v>420.41666666666669</v>
      </c>
      <c r="G16" s="9">
        <f>SUM(Monatswerte!AY16:BJ16)/12</f>
        <v>367.83333333333331</v>
      </c>
      <c r="H16" s="9">
        <f>SUM(Monatswerte!BK16:BV16)/12</f>
        <v>453.33333333333331</v>
      </c>
      <c r="I16" s="9">
        <f>SUM(Monatswerte!BW16:CH16)/12</f>
        <v>567</v>
      </c>
      <c r="J16" s="9">
        <f>SUM(Monatswerte!CI16:CT16)/12</f>
        <v>484.16666666666669</v>
      </c>
      <c r="K16" s="9">
        <f>SUM(Monatswerte!CU16:DF16)/12</f>
        <v>430</v>
      </c>
      <c r="L16" s="9">
        <f>SUM(Monatswerte!DG16:DR16)/12</f>
        <v>422.08333333333331</v>
      </c>
      <c r="M16" s="9">
        <f>SUM(Monatswerte!DS16:ED16)/12</f>
        <v>427.41666666666669</v>
      </c>
      <c r="N16" s="9">
        <f>SUM(Monatswerte!EE16:EP16)/12</f>
        <v>477.66666666666669</v>
      </c>
      <c r="O16" s="9">
        <f>SUM(Monatswerte!EQ16:FB16)/12</f>
        <v>549</v>
      </c>
      <c r="P16" s="9">
        <f>SUM([1]Monatswerte!FC16:FN16)/12</f>
        <v>571.08333333333337</v>
      </c>
      <c r="Q16" s="9">
        <f>SUM([1]Monatswerte!FO16:FZ16)/12</f>
        <v>564.83333333333337</v>
      </c>
      <c r="R16" s="9">
        <f>SUM([1]Monatswerte!GA16:GL16)/12</f>
        <v>535.91666666666663</v>
      </c>
      <c r="S16" s="9">
        <f>SUM([1]Monatswerte!GM16:GX16)/12</f>
        <v>669.16666666666663</v>
      </c>
      <c r="T16" s="9">
        <f>SUM([1]Monatswerte!GY16:HJ16)/12</f>
        <v>804.83333333333337</v>
      </c>
      <c r="U16" s="9">
        <f>SUM([1]Monatswerte!HK16:HV16)/12</f>
        <v>731.33333333333337</v>
      </c>
      <c r="V16" s="9">
        <f>SUM([1]Monatswerte!HW16:IH16)/12</f>
        <v>624.33333333333337</v>
      </c>
      <c r="W16" s="9">
        <f>SUM([2]Monatswerte!II16:IT16)/12</f>
        <v>669.41666666666663</v>
      </c>
      <c r="X16" s="9">
        <f>SUM([3]Monatswerte!IU16:JF16)/12</f>
        <v>833.16666666666663</v>
      </c>
    </row>
    <row r="17" spans="1:24" x14ac:dyDescent="0.2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4.25" x14ac:dyDescent="0.25">
      <c r="A18" s="5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x14ac:dyDescent="0.2">
      <c r="A19" s="1" t="s">
        <v>30</v>
      </c>
      <c r="B19" s="1">
        <v>14</v>
      </c>
      <c r="C19" s="9">
        <f>SUM(Monatswerte!C19:N19)/12</f>
        <v>1847.9166666666667</v>
      </c>
      <c r="D19" s="9">
        <f>SUM(Monatswerte!O19:Z19)/12</f>
        <v>1665.5833333333333</v>
      </c>
      <c r="E19" s="9">
        <f>SUM(Monatswerte!AG19:AL19)/12</f>
        <v>691.91666666666663</v>
      </c>
      <c r="F19" s="9">
        <f>SUM(Monatswerte!AM19:AX19)/12</f>
        <v>1228.8333333333333</v>
      </c>
      <c r="G19" s="9">
        <f>SUM(Monatswerte!AY19:BJ19)/12</f>
        <v>1130.3333333333333</v>
      </c>
      <c r="H19" s="9">
        <f>SUM(Monatswerte!BK19:BV19)/12</f>
        <v>1971.8333333333333</v>
      </c>
      <c r="I19" s="9">
        <f>SUM(Monatswerte!BW19:CH19)/12</f>
        <v>1872.4166666666667</v>
      </c>
      <c r="J19" s="9">
        <f>SUM(Monatswerte!CI19:CT19)/12</f>
        <v>1316.9166666666667</v>
      </c>
      <c r="K19" s="9">
        <f>SUM(Monatswerte!CU19:DF19)/12</f>
        <v>1352.5833333333333</v>
      </c>
      <c r="L19" s="9">
        <f>SUM(Monatswerte!DG19:DR19)/12</f>
        <v>1472.25</v>
      </c>
      <c r="M19" s="9">
        <f>SUM(Monatswerte!DS19:ED19)/12</f>
        <v>1324.6666666666667</v>
      </c>
      <c r="N19" s="9">
        <f>SUM(Monatswerte!EE19:EP19)/12</f>
        <v>1447.3333333333333</v>
      </c>
      <c r="O19" s="9">
        <f>SUM(Monatswerte!EQ19:FB19)/12</f>
        <v>1552.75</v>
      </c>
      <c r="P19" s="9">
        <f>SUM([1]Monatswerte!FC19:FN19)/12</f>
        <v>1406.8333333333333</v>
      </c>
      <c r="Q19" s="9">
        <f>SUM([1]Monatswerte!FO19:FZ19)/12</f>
        <v>1055.25</v>
      </c>
      <c r="R19" s="9">
        <f>SUM([1]Monatswerte!GA19:GL19)/12</f>
        <v>866.08333333333337</v>
      </c>
      <c r="S19" s="9">
        <f>SUM([1]Monatswerte!GM19:GX19)/12</f>
        <v>1426.3333333333333</v>
      </c>
      <c r="T19" s="9">
        <f>SUM([1]Monatswerte!GY19:HJ19)/12</f>
        <v>1424.3333333333333</v>
      </c>
      <c r="U19" s="9">
        <f>SUM([1]Monatswerte!HK19:HV19)/12</f>
        <v>1048.3333333333333</v>
      </c>
      <c r="V19" s="9">
        <f>SUM([1]Monatswerte!HW19:IH19)/12</f>
        <v>899.25</v>
      </c>
      <c r="W19" s="9">
        <f>SUM([2]Monatswerte!II19:IT19)/12</f>
        <v>1107.25</v>
      </c>
      <c r="X19" s="9">
        <f>SUM([3]Monatswerte!IU19:JF19)/12</f>
        <v>1464.3333333333333</v>
      </c>
    </row>
    <row r="20" spans="1:24" x14ac:dyDescent="0.2">
      <c r="A20" s="1" t="s">
        <v>31</v>
      </c>
      <c r="B20" s="1">
        <v>15</v>
      </c>
      <c r="C20" s="9">
        <f>SUM(Monatswerte!C20:N20)/12</f>
        <v>585.41666666666663</v>
      </c>
      <c r="D20" s="9">
        <f>SUM(Monatswerte!O20:Z20)/12</f>
        <v>542.41666666666663</v>
      </c>
      <c r="E20" s="9">
        <f>SUM(Monatswerte!AG20:AL20)/12</f>
        <v>210.91666666666666</v>
      </c>
      <c r="F20" s="9">
        <f>SUM(Monatswerte!AM20:AX20)/12</f>
        <v>365.41666666666669</v>
      </c>
      <c r="G20" s="9">
        <f>SUM(Monatswerte!AY20:BJ20)/12</f>
        <v>359</v>
      </c>
      <c r="H20" s="9">
        <f>SUM(Monatswerte!BK20:BV20)/12</f>
        <v>671.91666666666663</v>
      </c>
      <c r="I20" s="9">
        <f>SUM(Monatswerte!BW20:CH20)/12</f>
        <v>628.25</v>
      </c>
      <c r="J20" s="9">
        <f>SUM(Monatswerte!CI20:CT20)/12</f>
        <v>397.75</v>
      </c>
      <c r="K20" s="9">
        <f>SUM(Monatswerte!CU20:DF20)/12</f>
        <v>421</v>
      </c>
      <c r="L20" s="9">
        <f>SUM(Monatswerte!DG20:DR20)/12</f>
        <v>508.58333333333331</v>
      </c>
      <c r="M20" s="9">
        <f>SUM(Monatswerte!DS20:ED20)/12</f>
        <v>496.91666666666669</v>
      </c>
      <c r="N20" s="9">
        <f>SUM(Monatswerte!EE20:EP20)/12</f>
        <v>499.66666666666669</v>
      </c>
      <c r="O20" s="9">
        <f>SUM(Monatswerte!EQ20:FB20)/12</f>
        <v>553.16666666666663</v>
      </c>
      <c r="P20" s="9">
        <f>SUM([1]Monatswerte!FC20:FN20)/12</f>
        <v>515.91666666666663</v>
      </c>
      <c r="Q20" s="9">
        <f>SUM([1]Monatswerte!FO20:FZ20)/12</f>
        <v>383.25</v>
      </c>
      <c r="R20" s="9">
        <f>SUM([1]Monatswerte!GA20:GL20)/12</f>
        <v>345.91666666666669</v>
      </c>
      <c r="S20" s="9">
        <f>SUM([1]Monatswerte!GM20:GX20)/12</f>
        <v>552.41666666666663</v>
      </c>
      <c r="T20" s="9">
        <f>SUM([1]Monatswerte!GY20:HJ20)/12</f>
        <v>585.58333333333337</v>
      </c>
      <c r="U20" s="9">
        <f>SUM([1]Monatswerte!HK20:HV20)/12</f>
        <v>395.91666666666669</v>
      </c>
      <c r="V20" s="9">
        <f>SUM([1]Monatswerte!HW20:IH20)/12</f>
        <v>358.16666666666669</v>
      </c>
      <c r="W20" s="9">
        <f>SUM([2]Monatswerte!II20:IT20)/12</f>
        <v>461.08333333333331</v>
      </c>
      <c r="X20" s="9">
        <f>SUM([3]Monatswerte!IU20:JF20)/12</f>
        <v>591.16666666666663</v>
      </c>
    </row>
    <row r="21" spans="1:24" x14ac:dyDescent="0.2">
      <c r="A21" s="1" t="s">
        <v>32</v>
      </c>
      <c r="B21" s="1">
        <v>16</v>
      </c>
      <c r="C21" s="9">
        <f>SUM(Monatswerte!C21:N21)/12</f>
        <v>1649.3333333333333</v>
      </c>
      <c r="D21" s="9">
        <f>SUM(Monatswerte!O21:Z21)/12</f>
        <v>1625.5833333333333</v>
      </c>
      <c r="E21" s="9">
        <f>SUM(Monatswerte!AG21:AL21)/12</f>
        <v>643.58333333333337</v>
      </c>
      <c r="F21" s="9">
        <f>SUM(Monatswerte!AM21:AX21)/12</f>
        <v>1184.0833333333333</v>
      </c>
      <c r="G21" s="9">
        <f>SUM(Monatswerte!AY21:BJ21)/12</f>
        <v>1097.5</v>
      </c>
      <c r="H21" s="9">
        <f>SUM(Monatswerte!BK21:BV21)/12</f>
        <v>1819.0833333333333</v>
      </c>
      <c r="I21" s="9">
        <f>SUM(Monatswerte!BW21:CH21)/12</f>
        <v>1803.1666666666667</v>
      </c>
      <c r="J21" s="9">
        <f>SUM(Monatswerte!CI21:CT21)/12</f>
        <v>1201.25</v>
      </c>
      <c r="K21" s="9">
        <f>SUM(Monatswerte!CU21:DF21)/12</f>
        <v>1176.9166666666667</v>
      </c>
      <c r="L21" s="9">
        <f>SUM(Monatswerte!DG21:DR21)/12</f>
        <v>1332</v>
      </c>
      <c r="M21" s="9">
        <f>SUM(Monatswerte!DS21:ED21)/12</f>
        <v>1180.5833333333333</v>
      </c>
      <c r="N21" s="9">
        <f>SUM(Monatswerte!EE21:EP21)/12</f>
        <v>1309.5833333333333</v>
      </c>
      <c r="O21" s="9">
        <f>SUM(Monatswerte!EQ21:FB21)/12</f>
        <v>1514.5</v>
      </c>
      <c r="P21" s="9">
        <f>SUM([1]Monatswerte!FC21:FN21)/12</f>
        <v>1547.75</v>
      </c>
      <c r="Q21" s="9">
        <f>SUM([1]Monatswerte!FO21:FZ21)/12</f>
        <v>1382.3333333333333</v>
      </c>
      <c r="R21" s="9">
        <f>SUM([1]Monatswerte!GA21:GL21)/12</f>
        <v>1191.5</v>
      </c>
      <c r="S21" s="9">
        <f>SUM([1]Monatswerte!GM21:GX21)/12</f>
        <v>1688.4166666666667</v>
      </c>
      <c r="T21" s="9">
        <f>SUM([1]Monatswerte!GY21:HJ21)/12</f>
        <v>1725.75</v>
      </c>
      <c r="U21" s="9">
        <f>SUM([1]Monatswerte!HK21:HV21)/12</f>
        <v>1373.9166666666667</v>
      </c>
      <c r="V21" s="9">
        <f>SUM([1]Monatswerte!HW21:IH21)/12</f>
        <v>1242.4166666666667</v>
      </c>
      <c r="W21" s="9">
        <f>SUM([2]Monatswerte!II21:IT21)/12</f>
        <v>1494.3333333333333</v>
      </c>
      <c r="X21" s="9">
        <f>SUM([3]Monatswerte!IU21:JF21)/12</f>
        <v>1936.4166666666667</v>
      </c>
    </row>
    <row r="22" spans="1:24" x14ac:dyDescent="0.2">
      <c r="A22" s="1" t="s">
        <v>33</v>
      </c>
      <c r="B22" s="1">
        <v>17</v>
      </c>
      <c r="C22" s="9">
        <f>SUM(Monatswerte!C22:N22)/12</f>
        <v>206.16666666666666</v>
      </c>
      <c r="D22" s="9">
        <f>SUM(Monatswerte!O22:Z22)/12</f>
        <v>184.33333333333334</v>
      </c>
      <c r="E22" s="9">
        <f>SUM(Monatswerte!AG22:AL22)/12</f>
        <v>78.5</v>
      </c>
      <c r="F22" s="9">
        <f>SUM(Monatswerte!AM22:AX22)/12</f>
        <v>145.75</v>
      </c>
      <c r="G22" s="9">
        <f>SUM(Monatswerte!AY22:BJ22)/12</f>
        <v>135.25</v>
      </c>
      <c r="H22" s="9">
        <f>SUM(Monatswerte!BK22:BV22)/12</f>
        <v>259.91666666666669</v>
      </c>
      <c r="I22" s="9">
        <f>SUM(Monatswerte!BW22:CH22)/12</f>
        <v>246.5</v>
      </c>
      <c r="J22" s="9">
        <f>SUM(Monatswerte!CI22:CT22)/12</f>
        <v>147.91666666666666</v>
      </c>
      <c r="K22" s="9">
        <f>SUM(Monatswerte!CU22:DF22)/12</f>
        <v>164.66666666666666</v>
      </c>
      <c r="L22" s="9">
        <f>SUM(Monatswerte!DG22:DR22)/12</f>
        <v>191.25</v>
      </c>
      <c r="M22" s="9">
        <f>SUM(Monatswerte!DS22:ED22)/12</f>
        <v>181.16666666666666</v>
      </c>
      <c r="N22" s="9">
        <f>SUM(Monatswerte!EE22:EP22)/12</f>
        <v>185.5</v>
      </c>
      <c r="O22" s="9">
        <f>SUM(Monatswerte!EQ22:FB22)/12</f>
        <v>216.41666666666666</v>
      </c>
      <c r="P22" s="9">
        <f>SUM([1]Monatswerte!FC22:FN22)/12</f>
        <v>213.66666666666666</v>
      </c>
      <c r="Q22" s="9">
        <f>SUM([1]Monatswerte!FO22:FZ22)/12</f>
        <v>153</v>
      </c>
      <c r="R22" s="9">
        <f>SUM([1]Monatswerte!GA22:GL22)/12</f>
        <v>127.25</v>
      </c>
      <c r="S22" s="9">
        <f>SUM([1]Monatswerte!GM22:GX22)/12</f>
        <v>194.16666666666666</v>
      </c>
      <c r="T22" s="9">
        <f>SUM([1]Monatswerte!GY22:HJ22)/12</f>
        <v>205.33333333333334</v>
      </c>
      <c r="U22" s="9">
        <f>SUM([1]Monatswerte!HK22:HV22)/12</f>
        <v>158.33333333333334</v>
      </c>
      <c r="V22" s="9">
        <f>SUM([1]Monatswerte!HW22:IH22)/12</f>
        <v>139.16666666666666</v>
      </c>
      <c r="W22" s="9">
        <f>SUM([2]Monatswerte!II22:IT22)/12</f>
        <v>179.41666666666666</v>
      </c>
      <c r="X22" s="9">
        <f>SUM([3]Monatswerte!IU22:JF22)/12</f>
        <v>228.41666666666666</v>
      </c>
    </row>
    <row r="23" spans="1:24" x14ac:dyDescent="0.2">
      <c r="A23" s="1" t="s">
        <v>34</v>
      </c>
      <c r="B23" s="1">
        <v>18</v>
      </c>
      <c r="C23" s="9">
        <f>SUM(Monatswerte!C23:N23)/12</f>
        <v>430.08333333333331</v>
      </c>
      <c r="D23" s="9">
        <f>SUM(Monatswerte!O23:Z23)/12</f>
        <v>425.41666666666669</v>
      </c>
      <c r="E23" s="9">
        <f>SUM(Monatswerte!AG23:AL23)/12</f>
        <v>166.91666666666666</v>
      </c>
      <c r="F23" s="9">
        <f>SUM(Monatswerte!AM23:AX23)/12</f>
        <v>317.58333333333331</v>
      </c>
      <c r="G23" s="9">
        <f>SUM(Monatswerte!AY23:BJ23)/12</f>
        <v>280.08333333333331</v>
      </c>
      <c r="H23" s="9">
        <f>SUM(Monatswerte!BK23:BV23)/12</f>
        <v>402.16666666666669</v>
      </c>
      <c r="I23" s="9">
        <f>SUM(Monatswerte!BW23:CH23)/12</f>
        <v>431.91666666666669</v>
      </c>
      <c r="J23" s="9">
        <f>SUM(Monatswerte!CI23:CT23)/12</f>
        <v>381.25</v>
      </c>
      <c r="K23" s="9">
        <f>SUM(Monatswerte!CU23:DF23)/12</f>
        <v>390.83333333333331</v>
      </c>
      <c r="L23" s="9">
        <f>SUM(Monatswerte!DG23:DR23)/12</f>
        <v>380.33333333333331</v>
      </c>
      <c r="M23" s="9">
        <f>SUM(Monatswerte!DS23:ED23)/12</f>
        <v>374</v>
      </c>
      <c r="N23" s="9">
        <f>SUM(Monatswerte!EE23:EP23)/12</f>
        <v>402.16666666666669</v>
      </c>
      <c r="O23" s="9">
        <f>SUM(Monatswerte!EQ23:FB23)/12</f>
        <v>477.75</v>
      </c>
      <c r="P23" s="9">
        <f>SUM([1]Monatswerte!FC23:FN23)/12</f>
        <v>439.08333333333331</v>
      </c>
      <c r="Q23" s="9">
        <f>SUM([1]Monatswerte!FO23:FZ23)/12</f>
        <v>375.41666666666669</v>
      </c>
      <c r="R23" s="9">
        <f>SUM([1]Monatswerte!GA23:GL23)/12</f>
        <v>296.33333333333331</v>
      </c>
      <c r="S23" s="9">
        <f>SUM([1]Monatswerte!GM23:GX23)/12</f>
        <v>430.75</v>
      </c>
      <c r="T23" s="9">
        <f>SUM([1]Monatswerte!GY23:HJ23)/12</f>
        <v>414.5</v>
      </c>
      <c r="U23" s="9">
        <f>SUM([1]Monatswerte!HK23:HV23)/12</f>
        <v>312.58333333333331</v>
      </c>
      <c r="V23" s="9">
        <f>SUM([1]Monatswerte!HW23:IH23)/12</f>
        <v>279.33333333333331</v>
      </c>
      <c r="W23" s="9">
        <f>SUM([2]Monatswerte!II23:IT23)/12</f>
        <v>337.83333333333331</v>
      </c>
      <c r="X23" s="9">
        <f>SUM([3]Monatswerte!IU23:JF23)/12</f>
        <v>389.08333333333331</v>
      </c>
    </row>
    <row r="24" spans="1:24" x14ac:dyDescent="0.2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4.25" x14ac:dyDescent="0.25">
      <c r="A25" s="5" t="s">
        <v>42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x14ac:dyDescent="0.2">
      <c r="A26" s="1" t="s">
        <v>30</v>
      </c>
      <c r="B26" s="1">
        <v>19</v>
      </c>
      <c r="C26" s="9">
        <f>SUM(Monatswerte!C26:N26)/12</f>
        <v>2907.1666666666665</v>
      </c>
      <c r="D26" s="9">
        <f>SUM(Monatswerte!O26:Z26)/12</f>
        <v>3051.9166666666665</v>
      </c>
      <c r="E26" s="9">
        <f>SUM(Monatswerte!AG26:AL26)/12</f>
        <v>1132.75</v>
      </c>
      <c r="F26" s="9">
        <f>SUM(Monatswerte!AM26:AX26)/12</f>
        <v>2002.9166666666667</v>
      </c>
      <c r="G26" s="9">
        <f>SUM(Monatswerte!AY26:BJ26)/12</f>
        <v>1756.3333333333333</v>
      </c>
      <c r="H26" s="9">
        <f>SUM(Monatswerte!BK26:BV26)/12</f>
        <v>2603.3333333333335</v>
      </c>
      <c r="I26" s="9">
        <f>SUM(Monatswerte!BW26:CH26)/12</f>
        <v>2638</v>
      </c>
      <c r="J26" s="9">
        <f>SUM(Monatswerte!CI26:CT26)/12</f>
        <v>1990.5</v>
      </c>
      <c r="K26" s="9">
        <f>SUM(Monatswerte!CU26:DF26)/12</f>
        <v>1995.1666666666667</v>
      </c>
      <c r="L26" s="9">
        <f>SUM(Monatswerte!DG26:DR26)/12</f>
        <v>2159.6666666666665</v>
      </c>
      <c r="M26" s="9">
        <f>SUM(Monatswerte!DS26:ED26)/12</f>
        <v>1921.9166666666667</v>
      </c>
      <c r="N26" s="9">
        <f>SUM(Monatswerte!EE26:EP26)/12</f>
        <v>2062</v>
      </c>
      <c r="O26" s="9">
        <f>SUM(Monatswerte!EQ26:FB26)/12</f>
        <v>2281.0833333333335</v>
      </c>
      <c r="P26" s="9">
        <f>SUM([1]Monatswerte!FC26:FN26)/12</f>
        <v>2195.5</v>
      </c>
      <c r="Q26" s="9">
        <f>SUM([1]Monatswerte!FO26:FZ26)/12</f>
        <v>1915.3333333333333</v>
      </c>
      <c r="R26" s="9">
        <f>SUM([1]Monatswerte!GA26:GL26)/12</f>
        <v>1755.6666666666667</v>
      </c>
      <c r="S26" s="9">
        <f>SUM([1]Monatswerte!GM26:GX26)/12</f>
        <v>2420.3333333333335</v>
      </c>
      <c r="T26" s="9">
        <f>SUM([1]Monatswerte!GY26:HJ26)/12</f>
        <v>2542.8333333333335</v>
      </c>
      <c r="U26" s="9">
        <f>SUM([1]Monatswerte!HK26:HV26)/12</f>
        <v>1947.6666666666667</v>
      </c>
      <c r="V26" s="9">
        <f>SUM([1]Monatswerte!HW26:IH26)/12</f>
        <v>1613.5</v>
      </c>
      <c r="W26" s="9">
        <f>SUM([2]Monatswerte!II26:IT26)/12</f>
        <v>1897.4166666666667</v>
      </c>
      <c r="X26" s="9">
        <f>SUM([3]Monatswerte!IU26:JF26)/12</f>
        <v>2410.0833333333335</v>
      </c>
    </row>
    <row r="27" spans="1:24" x14ac:dyDescent="0.2">
      <c r="A27" s="1" t="s">
        <v>31</v>
      </c>
      <c r="B27" s="1">
        <v>20</v>
      </c>
      <c r="C27" s="9">
        <f>SUM(Monatswerte!C27:N27)/12</f>
        <v>856</v>
      </c>
      <c r="D27" s="9">
        <f>SUM(Monatswerte!O27:Z27)/12</f>
        <v>807.33333333333337</v>
      </c>
      <c r="E27" s="9">
        <f>SUM(Monatswerte!AG27:AL27)/12</f>
        <v>328.08333333333331</v>
      </c>
      <c r="F27" s="9">
        <f>SUM(Monatswerte!AM27:AX27)/12</f>
        <v>565.08333333333337</v>
      </c>
      <c r="G27" s="9">
        <f>SUM(Monatswerte!AY27:BJ27)/12</f>
        <v>532.41666666666663</v>
      </c>
      <c r="H27" s="9">
        <f>SUM(Monatswerte!BK27:BV27)/12</f>
        <v>874.75</v>
      </c>
      <c r="I27" s="9">
        <f>SUM(Monatswerte!BW27:CH27)/12</f>
        <v>872.58333333333337</v>
      </c>
      <c r="J27" s="9">
        <f>SUM(Monatswerte!CI27:CT27)/12</f>
        <v>616.58333333333337</v>
      </c>
      <c r="K27" s="9">
        <f>SUM(Monatswerte!CU27:DF27)/12</f>
        <v>601.25</v>
      </c>
      <c r="L27" s="9">
        <f>SUM(Monatswerte!DG27:DR27)/12</f>
        <v>689.83333333333337</v>
      </c>
      <c r="M27" s="9">
        <f>SUM(Monatswerte!DS27:ED27)/12</f>
        <v>683.83333333333337</v>
      </c>
      <c r="N27" s="9">
        <f>SUM(Monatswerte!EE27:EP27)/12</f>
        <v>696.66666666666663</v>
      </c>
      <c r="O27" s="9">
        <f>SUM(Monatswerte!EQ27:FB27)/12</f>
        <v>811.16666666666663</v>
      </c>
      <c r="P27" s="9">
        <f>SUM([1]Monatswerte!FC27:FN27)/12</f>
        <v>808.41666666666663</v>
      </c>
      <c r="Q27" s="9">
        <f>SUM([1]Monatswerte!FO27:FZ27)/12</f>
        <v>695.25</v>
      </c>
      <c r="R27" s="9">
        <f>SUM([1]Monatswerte!GA27:GL27)/12</f>
        <v>676.58333333333337</v>
      </c>
      <c r="S27" s="9">
        <f>SUM([1]Monatswerte!GM27:GX27)/12</f>
        <v>901.41666666666663</v>
      </c>
      <c r="T27" s="9">
        <f>SUM([1]Monatswerte!GY27:HJ27)/12</f>
        <v>1004.8333333333334</v>
      </c>
      <c r="U27" s="9">
        <f>SUM([1]Monatswerte!HK27:HV27)/12</f>
        <v>720.58333333333337</v>
      </c>
      <c r="V27" s="9">
        <f>SUM([1]Monatswerte!HW27:IH27)/12</f>
        <v>619.83333333333337</v>
      </c>
      <c r="W27" s="9">
        <f>SUM([2]Monatswerte!II27:IT27)/12</f>
        <v>760.08333333333337</v>
      </c>
      <c r="X27" s="9">
        <f>SUM([3]Monatswerte!IU27:JF27)/12</f>
        <v>953.41666666666663</v>
      </c>
    </row>
    <row r="28" spans="1:24" x14ac:dyDescent="0.2">
      <c r="A28" s="1" t="s">
        <v>32</v>
      </c>
      <c r="B28" s="1">
        <v>21</v>
      </c>
      <c r="C28" s="9">
        <f>SUM(Monatswerte!C28:N28)/12</f>
        <v>2600.4166666666665</v>
      </c>
      <c r="D28" s="9">
        <f>SUM(Monatswerte!O28:Z28)/12</f>
        <v>2659.9166666666665</v>
      </c>
      <c r="E28" s="9">
        <f>SUM(Monatswerte!AG28:AL28)/12</f>
        <v>1162.1666666666667</v>
      </c>
      <c r="F28" s="9">
        <f>SUM(Monatswerte!AM28:AX28)/12</f>
        <v>2157.25</v>
      </c>
      <c r="G28" s="9">
        <f>SUM(Monatswerte!AY28:BJ28)/12</f>
        <v>1947.3333333333333</v>
      </c>
      <c r="H28" s="9">
        <f>SUM(Monatswerte!BK28:BV28)/12</f>
        <v>2665.3333333333335</v>
      </c>
      <c r="I28" s="9">
        <f>SUM(Monatswerte!BW28:CH28)/12</f>
        <v>2868.5833333333335</v>
      </c>
      <c r="J28" s="9">
        <f>SUM(Monatswerte!CI28:CT28)/12</f>
        <v>2172.75</v>
      </c>
      <c r="K28" s="9">
        <f>SUM(Monatswerte!CU28:DF28)/12</f>
        <v>2228.6666666666665</v>
      </c>
      <c r="L28" s="9">
        <f>SUM(Monatswerte!DG28:DR28)/12</f>
        <v>2420.5833333333335</v>
      </c>
      <c r="M28" s="9">
        <f>SUM(Monatswerte!DS28:ED28)/12</f>
        <v>2235.4166666666665</v>
      </c>
      <c r="N28" s="9">
        <f>SUM(Monatswerte!EE28:EP28)/12</f>
        <v>2466.8333333333335</v>
      </c>
      <c r="O28" s="9">
        <f>SUM(Monatswerte!EQ28:FB28)/12</f>
        <v>2755.5833333333335</v>
      </c>
      <c r="P28" s="9">
        <f>SUM([1]Monatswerte!FC28:FN28)/12</f>
        <v>2850.8333333333335</v>
      </c>
      <c r="Q28" s="9">
        <f>SUM([1]Monatswerte!FO28:FZ28)/12</f>
        <v>2672.5833333333335</v>
      </c>
      <c r="R28" s="9">
        <f>SUM([1]Monatswerte!GA28:GL28)/12</f>
        <v>2479.1666666666665</v>
      </c>
      <c r="S28" s="9">
        <f>SUM([1]Monatswerte!GM28:GX28)/12</f>
        <v>3016.8333333333335</v>
      </c>
      <c r="T28" s="9">
        <f>SUM([1]Monatswerte!GY28:HJ28)/12</f>
        <v>3174.9166666666665</v>
      </c>
      <c r="U28" s="9">
        <f>SUM([1]Monatswerte!HK28:HV28)/12</f>
        <v>2587.1666666666665</v>
      </c>
      <c r="V28" s="9">
        <f>SUM([1]Monatswerte!HW28:IH28)/12</f>
        <v>2244.5</v>
      </c>
      <c r="W28" s="9">
        <f>SUM([2]Monatswerte!II28:IT28)/12</f>
        <v>2584</v>
      </c>
      <c r="X28" s="9">
        <f>SUM([3]Monatswerte!IU28:JF28)/12</f>
        <v>3160.25</v>
      </c>
    </row>
    <row r="29" spans="1:24" x14ac:dyDescent="0.2">
      <c r="A29" s="1" t="s">
        <v>33</v>
      </c>
      <c r="B29" s="1">
        <v>22</v>
      </c>
      <c r="C29" s="9">
        <f>SUM(Monatswerte!C29:N29)/12</f>
        <v>307.41666666666669</v>
      </c>
      <c r="D29" s="9">
        <f>SUM(Monatswerte!O29:Z29)/12</f>
        <v>290.75</v>
      </c>
      <c r="E29" s="9">
        <f>SUM(Monatswerte!AG29:AL29)/12</f>
        <v>133.5</v>
      </c>
      <c r="F29" s="9">
        <f>SUM(Monatswerte!AM29:AX29)/12</f>
        <v>240.66666666666666</v>
      </c>
      <c r="G29" s="9">
        <f>SUM(Monatswerte!AY29:BJ29)/12</f>
        <v>215.08333333333334</v>
      </c>
      <c r="H29" s="9">
        <f>SUM(Monatswerte!BK29:BV29)/12</f>
        <v>355.58333333333331</v>
      </c>
      <c r="I29" s="9">
        <f>SUM(Monatswerte!BW29:CH29)/12</f>
        <v>357.33333333333331</v>
      </c>
      <c r="J29" s="9">
        <f>SUM(Monatswerte!CI29:CT29)/12</f>
        <v>244.33333333333334</v>
      </c>
      <c r="K29" s="9">
        <f>SUM(Monatswerte!CU29:DF29)/12</f>
        <v>269.66666666666669</v>
      </c>
      <c r="L29" s="9">
        <f>SUM(Monatswerte!DG29:DR29)/12</f>
        <v>287.33333333333331</v>
      </c>
      <c r="M29" s="9">
        <f>SUM(Monatswerte!DS29:ED29)/12</f>
        <v>272.33333333333331</v>
      </c>
      <c r="N29" s="9">
        <f>SUM(Monatswerte!EE29:EP29)/12</f>
        <v>270.58333333333331</v>
      </c>
      <c r="O29" s="9">
        <f>SUM(Monatswerte!EQ29:FB29)/12</f>
        <v>339.41666666666669</v>
      </c>
      <c r="P29" s="9">
        <f>SUM([1]Monatswerte!FC29:FN29)/12</f>
        <v>340.25</v>
      </c>
      <c r="Q29" s="9">
        <f>SUM([1]Monatswerte!FO29:FZ29)/12</f>
        <v>278.41666666666669</v>
      </c>
      <c r="R29" s="9">
        <f>SUM([1]Monatswerte!GA29:GL29)/12</f>
        <v>264.75</v>
      </c>
      <c r="S29" s="9">
        <f>SUM([1]Monatswerte!GM29:GX29)/12</f>
        <v>343.75</v>
      </c>
      <c r="T29" s="9">
        <f>SUM([1]Monatswerte!GY29:HJ29)/12</f>
        <v>388.25</v>
      </c>
      <c r="U29" s="9">
        <f>SUM([1]Monatswerte!HK29:HV29)/12</f>
        <v>295.41666666666669</v>
      </c>
      <c r="V29" s="9">
        <f>SUM([1]Monatswerte!HW29:IH29)/12</f>
        <v>238.58333333333334</v>
      </c>
      <c r="W29" s="9">
        <f>SUM([2]Monatswerte!II29:IT29)/12</f>
        <v>298.58333333333331</v>
      </c>
      <c r="X29" s="9">
        <f>SUM([3]Monatswerte!IU29:JF29)/12</f>
        <v>360</v>
      </c>
    </row>
    <row r="30" spans="1:24" x14ac:dyDescent="0.2">
      <c r="A30" s="1" t="s">
        <v>34</v>
      </c>
      <c r="B30" s="1">
        <v>23</v>
      </c>
      <c r="C30" s="9">
        <f>SUM(Monatswerte!C30:N30)/12</f>
        <v>581.33333333333337</v>
      </c>
      <c r="D30" s="9">
        <f>SUM(Monatswerte!O30:Z30)/12</f>
        <v>625.66666666666663</v>
      </c>
      <c r="E30" s="9">
        <f>SUM(Monatswerte!AG30:AL30)/12</f>
        <v>247.83333333333334</v>
      </c>
      <c r="F30" s="9">
        <f>SUM(Monatswerte!AM30:AX30)/12</f>
        <v>463.75</v>
      </c>
      <c r="G30" s="9">
        <f>SUM(Monatswerte!AY30:BJ30)/12</f>
        <v>416.41666666666669</v>
      </c>
      <c r="H30" s="9">
        <f>SUM(Monatswerte!BK30:BV30)/12</f>
        <v>550.66666666666663</v>
      </c>
      <c r="I30" s="9">
        <f>SUM(Monatswerte!BW30:CH30)/12</f>
        <v>574.58333333333337</v>
      </c>
      <c r="J30" s="9">
        <f>SUM(Monatswerte!CI30:CT30)/12</f>
        <v>505.08333333333331</v>
      </c>
      <c r="K30" s="9">
        <f>SUM(Monatswerte!CU30:DF30)/12</f>
        <v>513.08333333333337</v>
      </c>
      <c r="L30" s="9">
        <f>SUM(Monatswerte!DG30:DR30)/12</f>
        <v>519.16666666666663</v>
      </c>
      <c r="M30" s="9">
        <f>SUM(Monatswerte!DS30:ED30)/12</f>
        <v>522.58333333333337</v>
      </c>
      <c r="N30" s="9">
        <f>SUM(Monatswerte!EE30:EP30)/12</f>
        <v>598.33333333333337</v>
      </c>
      <c r="O30" s="9">
        <f>SUM(Monatswerte!EQ30:FB30)/12</f>
        <v>687.08333333333337</v>
      </c>
      <c r="P30" s="9">
        <f>SUM([1]Monatswerte!FC30:FN30)/12</f>
        <v>665.08333333333337</v>
      </c>
      <c r="Q30" s="9">
        <f>SUM([1]Monatswerte!FO30:FZ30)/12</f>
        <v>618.75</v>
      </c>
      <c r="R30" s="9">
        <f>SUM([1]Monatswerte!GA30:GL30)/12</f>
        <v>541.41666666666663</v>
      </c>
      <c r="S30" s="9">
        <f>SUM([1]Monatswerte!GM30:GX30)/12</f>
        <v>698.66666666666663</v>
      </c>
      <c r="T30" s="9">
        <f>SUM([1]Monatswerte!GY30:HJ30)/12</f>
        <v>722</v>
      </c>
      <c r="U30" s="9">
        <f>SUM([1]Monatswerte!HK30:HV30)/12</f>
        <v>554.58333333333337</v>
      </c>
      <c r="V30" s="9">
        <f>SUM([1]Monatswerte!HW30:IH30)/12</f>
        <v>467.41666666666669</v>
      </c>
      <c r="W30" s="9">
        <f>SUM([2]Monatswerte!II30:IT30)/12</f>
        <v>541.83333333333337</v>
      </c>
      <c r="X30" s="9">
        <f>SUM([3]Monatswerte!IU30:JF30)/12</f>
        <v>601.5</v>
      </c>
    </row>
    <row r="31" spans="1:24" x14ac:dyDescent="0.2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4.25" x14ac:dyDescent="0.25">
      <c r="A32" s="4" t="s">
        <v>43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x14ac:dyDescent="0.2">
      <c r="A33" s="1" t="s">
        <v>6</v>
      </c>
      <c r="B33" s="1">
        <v>24</v>
      </c>
      <c r="C33" s="9">
        <f>SUM(Monatswerte!C33:N33)/12</f>
        <v>774.5</v>
      </c>
      <c r="D33" s="9">
        <f>SUM(Monatswerte!O33:Z33)/12</f>
        <v>753.75</v>
      </c>
      <c r="E33" s="9">
        <f>SUM(Monatswerte!AG33:AL33)/12</f>
        <v>346.91666666666669</v>
      </c>
      <c r="F33" s="9">
        <f>SUM(Monatswerte!AM33:AX33)/12</f>
        <v>655.33333333333337</v>
      </c>
      <c r="G33" s="9">
        <f>SUM(Monatswerte!AY33:BJ33)/12</f>
        <v>669</v>
      </c>
      <c r="H33" s="9">
        <f>SUM(Monatswerte!BK33:BV33)/12</f>
        <v>911.41666666666663</v>
      </c>
      <c r="I33" s="9">
        <f>SUM(Monatswerte!BW33:CH33)/12</f>
        <v>717.66666666666663</v>
      </c>
      <c r="J33" s="9">
        <f>SUM(Monatswerte!CI33:CT33)/12</f>
        <v>723.91666666666663</v>
      </c>
      <c r="K33" s="9">
        <f>SUM(Monatswerte!CU33:DF33)/12</f>
        <v>787.33333333333337</v>
      </c>
      <c r="L33" s="9">
        <f>SUM(Monatswerte!DG33:DR33)/12</f>
        <v>771.16666666666663</v>
      </c>
      <c r="M33" s="9">
        <f>SUM(Monatswerte!DS33:ED33)/12</f>
        <v>741.25</v>
      </c>
      <c r="N33" s="9">
        <f>SUM(Monatswerte!EE33:EP33)/12</f>
        <v>855.91666666666663</v>
      </c>
      <c r="O33" s="9">
        <f>SUM(Monatswerte!EQ33:FB33)/12</f>
        <v>854</v>
      </c>
      <c r="P33" s="9">
        <f>SUM([1]Monatswerte!FC33:FN33)/12</f>
        <v>856.25</v>
      </c>
      <c r="Q33" s="9">
        <f>SUM([1]Monatswerte!FO33:FZ33)/12</f>
        <v>793.33333333333337</v>
      </c>
      <c r="R33" s="9">
        <f>SUM([1]Monatswerte!GA33:GL33)/12</f>
        <v>828.16666666666663</v>
      </c>
      <c r="S33" s="9">
        <f>SUM([1]Monatswerte!GM33:GX33)/12</f>
        <v>910.75</v>
      </c>
      <c r="T33" s="9">
        <f>SUM([1]Monatswerte!GY33:HJ33)/12</f>
        <v>765.91666666666663</v>
      </c>
      <c r="U33" s="9">
        <f>SUM([1]Monatswerte!HK33:HV33)/12</f>
        <v>733.66666666666663</v>
      </c>
      <c r="V33" s="9">
        <f>SUM([1]Monatswerte!HW33:IH33)/12</f>
        <v>780.33333333333337</v>
      </c>
      <c r="W33" s="9">
        <f>SUM([2]Monatswerte!II33:IT33)/12</f>
        <v>919.08333333333337</v>
      </c>
      <c r="X33" s="9">
        <f>SUM([3]Monatswerte!IU33:JF33)/12</f>
        <v>973.58333333333337</v>
      </c>
    </row>
    <row r="34" spans="1:24" x14ac:dyDescent="0.2">
      <c r="A34" s="1" t="s">
        <v>7</v>
      </c>
      <c r="B34" s="1">
        <v>25</v>
      </c>
      <c r="C34" s="9">
        <f>SUM(Monatswerte!C34:N34)/12</f>
        <v>801.08333333333337</v>
      </c>
      <c r="D34" s="9">
        <f>SUM(Monatswerte!O34:Z34)/12</f>
        <v>773.75</v>
      </c>
      <c r="E34" s="9">
        <f>SUM(Monatswerte!AG34:AL34)/12</f>
        <v>369.91666666666669</v>
      </c>
      <c r="F34" s="9">
        <f>SUM(Monatswerte!AM34:AX34)/12</f>
        <v>707.16666666666663</v>
      </c>
      <c r="G34" s="9">
        <f>SUM(Monatswerte!AY34:BJ34)/12</f>
        <v>660.91666666666663</v>
      </c>
      <c r="H34" s="9">
        <f>SUM(Monatswerte!BK34:BV34)/12</f>
        <v>670.75</v>
      </c>
      <c r="I34" s="9">
        <f>SUM(Monatswerte!BW34:CH34)/12</f>
        <v>844.25</v>
      </c>
      <c r="J34" s="9">
        <f>SUM(Monatswerte!CI34:CT34)/12</f>
        <v>815</v>
      </c>
      <c r="K34" s="9">
        <f>SUM(Monatswerte!CU34:DF34)/12</f>
        <v>733.08333333333337</v>
      </c>
      <c r="L34" s="9">
        <f>SUM(Monatswerte!DG34:DR34)/12</f>
        <v>780.16666666666663</v>
      </c>
      <c r="M34" s="9">
        <f>SUM(Monatswerte!DS34:ED34)/12</f>
        <v>784.41666666666663</v>
      </c>
      <c r="N34" s="9">
        <f>SUM(Monatswerte!EE34:EP34)/12</f>
        <v>755.08333333333337</v>
      </c>
      <c r="O34" s="9">
        <f>SUM(Monatswerte!EQ34:FB34)/12</f>
        <v>833.75</v>
      </c>
      <c r="P34" s="9">
        <f>SUM([1]Monatswerte!FC34:FN34)/12</f>
        <v>847.58333333333337</v>
      </c>
      <c r="Q34" s="9">
        <f>SUM([1]Monatswerte!FO34:FZ34)/12</f>
        <v>855.41666666666663</v>
      </c>
      <c r="R34" s="9">
        <f>SUM([1]Monatswerte!GA34:GL34)/12</f>
        <v>842.33333333333337</v>
      </c>
      <c r="S34" s="9">
        <f>SUM([1]Monatswerte!GM34:GX34)/12</f>
        <v>723.91666666666663</v>
      </c>
      <c r="T34" s="9">
        <f>SUM([1]Monatswerte!GY34:HJ34)/12</f>
        <v>872.91666666666663</v>
      </c>
      <c r="U34" s="9">
        <f>SUM([1]Monatswerte!HK34:HV34)/12</f>
        <v>892.58333333333337</v>
      </c>
      <c r="V34" s="9">
        <f>SUM([1]Monatswerte!HW34:IH34)/12</f>
        <v>803.66666666666663</v>
      </c>
      <c r="W34" s="9">
        <f>SUM([2]Monatswerte!II34:IT34)/12</f>
        <v>795.66666666666663</v>
      </c>
      <c r="X34" s="9">
        <f>SUM([3]Monatswerte!IU34:JF34)/12</f>
        <v>883</v>
      </c>
    </row>
    <row r="35" spans="1:24" x14ac:dyDescent="0.2">
      <c r="A35" s="1" t="s">
        <v>8</v>
      </c>
      <c r="B35" s="1">
        <v>26</v>
      </c>
      <c r="C35" s="9">
        <f>SUM(Monatswerte!C35:N35)/12</f>
        <v>510.33333333333331</v>
      </c>
      <c r="D35" s="9">
        <f>SUM(Monatswerte!O35:Z35)/12</f>
        <v>500.5</v>
      </c>
      <c r="E35" s="9">
        <f>SUM(Monatswerte!AG35:AL35)/12</f>
        <v>244.58333333333334</v>
      </c>
      <c r="F35" s="9">
        <f>SUM(Monatswerte!AM35:AX35)/12</f>
        <v>470.08333333333331</v>
      </c>
      <c r="G35" s="9">
        <f>SUM(Monatswerte!AY35:BJ35)/12</f>
        <v>443.91666666666669</v>
      </c>
      <c r="H35" s="9">
        <f>SUM(Monatswerte!BK35:BV35)/12</f>
        <v>433.08333333333331</v>
      </c>
      <c r="I35" s="9">
        <f>SUM(Monatswerte!BW35:CH35)/12</f>
        <v>553.66666666666663</v>
      </c>
      <c r="J35" s="9">
        <f>SUM(Monatswerte!CI35:CT35)/12</f>
        <v>504.58333333333331</v>
      </c>
      <c r="K35" s="9">
        <f>SUM(Monatswerte!CU35:DF35)/12</f>
        <v>445.08333333333331</v>
      </c>
      <c r="L35" s="9">
        <f>SUM(Monatswerte!DG35:DR35)/12</f>
        <v>501.75</v>
      </c>
      <c r="M35" s="9">
        <f>SUM(Monatswerte!DS35:ED35)/12</f>
        <v>470.75</v>
      </c>
      <c r="N35" s="9">
        <f>SUM(Monatswerte!EE35:EP35)/12</f>
        <v>462.5</v>
      </c>
      <c r="O35" s="9">
        <f>SUM(Monatswerte!EQ35:FB35)/12</f>
        <v>492.41666666666669</v>
      </c>
      <c r="P35" s="9">
        <f>SUM([1]Monatswerte!FC35:FN35)/12</f>
        <v>523.16666666666663</v>
      </c>
      <c r="Q35" s="9">
        <f>SUM([1]Monatswerte!FO35:FZ35)/12</f>
        <v>519.75</v>
      </c>
      <c r="R35" s="9">
        <f>SUM([1]Monatswerte!GA35:GL35)/12</f>
        <v>506.83333333333331</v>
      </c>
      <c r="S35" s="9">
        <f>SUM([1]Monatswerte!GM35:GX35)/12</f>
        <v>464.75</v>
      </c>
      <c r="T35" s="9">
        <f>SUM([1]Monatswerte!GY35:HJ35)/12</f>
        <v>593.08333333333337</v>
      </c>
      <c r="U35" s="9">
        <f>SUM([1]Monatswerte!HK35:HV35)/12</f>
        <v>560.75</v>
      </c>
      <c r="V35" s="9">
        <f>SUM([1]Monatswerte!HW35:IH35)/12</f>
        <v>486</v>
      </c>
      <c r="W35" s="9">
        <f>SUM([2]Monatswerte!II35:IT35)/12</f>
        <v>505.5</v>
      </c>
      <c r="X35" s="9">
        <f>SUM([3]Monatswerte!IU35:JF35)/12</f>
        <v>532.75</v>
      </c>
    </row>
    <row r="36" spans="1:24" x14ac:dyDescent="0.2">
      <c r="A36" s="1" t="s">
        <v>9</v>
      </c>
      <c r="B36" s="1">
        <v>27</v>
      </c>
      <c r="C36" s="9">
        <f>SUM(Monatswerte!C36:N36)/12</f>
        <v>239.58333333333334</v>
      </c>
      <c r="D36" s="9">
        <f>SUM(Monatswerte!O36:Z36)/12</f>
        <v>245.83333333333334</v>
      </c>
      <c r="E36" s="9">
        <f>SUM(Monatswerte!AG36:AL36)/12</f>
        <v>116.75</v>
      </c>
      <c r="F36" s="9">
        <f>SUM(Monatswerte!AM36:AX36)/12</f>
        <v>296.83333333333331</v>
      </c>
      <c r="G36" s="9">
        <f>SUM(Monatswerte!AY36:BJ36)/12</f>
        <v>298.16666666666669</v>
      </c>
      <c r="H36" s="9">
        <f>SUM(Monatswerte!BK36:BV36)/12</f>
        <v>265.58333333333331</v>
      </c>
      <c r="I36" s="9">
        <f>SUM(Monatswerte!BW36:CH36)/12</f>
        <v>322.25</v>
      </c>
      <c r="J36" s="9">
        <f>SUM(Monatswerte!CI36:CT36)/12</f>
        <v>335.91666666666669</v>
      </c>
      <c r="K36" s="9">
        <f>SUM(Monatswerte!CU36:DF36)/12</f>
        <v>252.91666666666666</v>
      </c>
      <c r="L36" s="9">
        <f>SUM(Monatswerte!DG36:DR36)/12</f>
        <v>229.33333333333334</v>
      </c>
      <c r="M36" s="9">
        <f>SUM(Monatswerte!DS36:ED36)/12</f>
        <v>226.58333333333334</v>
      </c>
      <c r="N36" s="9">
        <f>SUM(Monatswerte!EE36:EP36)/12</f>
        <v>184.58333333333334</v>
      </c>
      <c r="O36" s="9">
        <f>SUM(Monatswerte!EQ36:FB36)/12</f>
        <v>170.33333333333334</v>
      </c>
      <c r="P36" s="9">
        <f>SUM([1]Monatswerte!FC36:FN36)/12</f>
        <v>191.33333333333334</v>
      </c>
      <c r="Q36" s="9">
        <f>SUM([1]Monatswerte!FO36:FZ36)/12</f>
        <v>495.91666666666669</v>
      </c>
      <c r="R36" s="9">
        <f>SUM([1]Monatswerte!GA36:GL36)/12</f>
        <v>802.66666666666663</v>
      </c>
      <c r="S36" s="9">
        <f>SUM([1]Monatswerte!GM36:GX36)/12</f>
        <v>896.25</v>
      </c>
      <c r="T36" s="9">
        <f>SUM([1]Monatswerte!GY36:HJ36)/12</f>
        <v>1403.5833333333333</v>
      </c>
      <c r="U36" s="9">
        <f>SUM([1]Monatswerte!HK36:HV36)/12</f>
        <v>1883.1666666666667</v>
      </c>
      <c r="V36" s="9">
        <f>SUM([1]Monatswerte!HW36:IH36)/12</f>
        <v>1767.3333333333333</v>
      </c>
      <c r="W36" s="9">
        <f>SUM([2]Monatswerte!II36:IT36)/12</f>
        <v>1610.75</v>
      </c>
      <c r="X36" s="9">
        <f>SUM([3]Monatswerte!IU36:JF36)/12</f>
        <v>1396.1666666666667</v>
      </c>
    </row>
    <row r="37" spans="1:24" x14ac:dyDescent="0.2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2">
      <c r="A38" s="1" t="s">
        <v>10</v>
      </c>
      <c r="B38" s="1">
        <v>28</v>
      </c>
      <c r="C38" s="9">
        <f>SUM(Monatswerte!C39:N39)/12</f>
        <v>1450.9166666666667</v>
      </c>
      <c r="D38" s="9">
        <f>SUM(Monatswerte!O39:Z39)/12</f>
        <v>1539.25</v>
      </c>
      <c r="E38" s="9">
        <f>SUM(Monatswerte!AG39:AL39)/12</f>
        <v>758.16666666666663</v>
      </c>
      <c r="F38" s="9">
        <f>SUM(Monatswerte!AM39:AX39)/12</f>
        <v>1307.5833333333333</v>
      </c>
      <c r="G38" s="9">
        <f>SUM(Monatswerte!AY39:BJ39)/12</f>
        <v>1065.25</v>
      </c>
      <c r="H38" s="9">
        <f>SUM(Monatswerte!BK39:BV39)/12</f>
        <v>1170.6666666666667</v>
      </c>
      <c r="I38" s="9">
        <f>SUM(Monatswerte!BW39:CH39)/12</f>
        <v>1557</v>
      </c>
      <c r="J38" s="9">
        <f>SUM(Monatswerte!CI39:CT39)/12</f>
        <v>1246.25</v>
      </c>
      <c r="K38" s="9">
        <f>SUM(Monatswerte!CU39:DF39)/12</f>
        <v>1140.75</v>
      </c>
      <c r="L38" s="9">
        <f>SUM(Monatswerte!DG39:DR39)/12</f>
        <v>1220.25</v>
      </c>
      <c r="M38" s="9">
        <f>SUM(Monatswerte!DS39:ED39)/12</f>
        <v>1193.1666666666667</v>
      </c>
      <c r="N38" s="9">
        <f>SUM(Monatswerte!EE39:EP39)/12</f>
        <v>1264.9166666666667</v>
      </c>
      <c r="O38" s="9">
        <f>SUM(Monatswerte!EQ39:FB39)/12</f>
        <v>1421.1666666666667</v>
      </c>
      <c r="P38" s="9">
        <f>SUM([1]Monatswerte!FC38:FN38)/12</f>
        <v>1533.3333333333333</v>
      </c>
      <c r="Q38" s="9">
        <f>SUM([1]Monatswerte!FO38:FZ38)/12</f>
        <v>1575.5833333333333</v>
      </c>
      <c r="R38" s="9">
        <f>SUM([1]Monatswerte!GA38:GL38)/12</f>
        <v>1435.9166666666667</v>
      </c>
      <c r="S38" s="9">
        <f>SUM([1]Monatswerte!GM38:GX38)/12</f>
        <v>1664.25</v>
      </c>
      <c r="T38" s="9">
        <f>SUM([1]Monatswerte!GY38:HJ38)/12</f>
        <v>2037.8333333333333</v>
      </c>
      <c r="U38" s="9">
        <f>SUM([1]Monatswerte!HK38:HV38)/12</f>
        <v>1629.0833333333333</v>
      </c>
      <c r="V38" s="9">
        <f>SUM([1]Monatswerte!HW38:IH38)/12</f>
        <v>1115.0833333333333</v>
      </c>
      <c r="W38" s="9">
        <f>SUM([2]Monatswerte!II38:IT38)/12</f>
        <v>1101.3333333333333</v>
      </c>
      <c r="X38" s="9">
        <f>SUM([3]Monatswerte!IU38:JF38)/12</f>
        <v>1302.75</v>
      </c>
    </row>
    <row r="39" spans="1:24" x14ac:dyDescent="0.2">
      <c r="A39" s="1" t="s">
        <v>11</v>
      </c>
      <c r="B39" s="1">
        <v>29</v>
      </c>
      <c r="C39" s="9">
        <f>SUM(Monatswerte!C40:N40)/12</f>
        <v>580</v>
      </c>
      <c r="D39" s="9">
        <f>SUM(Monatswerte!O40:Z40)/12</f>
        <v>540</v>
      </c>
      <c r="E39" s="9">
        <f>SUM(Monatswerte!AG40:AL40)/12</f>
        <v>181.91666666666666</v>
      </c>
      <c r="F39" s="9">
        <f>SUM(Monatswerte!AM40:AX40)/12</f>
        <v>375.91666666666669</v>
      </c>
      <c r="G39" s="9">
        <f>SUM(Monatswerte!AY40:BJ40)/12</f>
        <v>376.83333333333331</v>
      </c>
      <c r="H39" s="9">
        <f>SUM(Monatswerte!BK40:BV40)/12</f>
        <v>345.83333333333331</v>
      </c>
      <c r="I39" s="9">
        <f>SUM(Monatswerte!BW40:CH40)/12</f>
        <v>320.16666666666669</v>
      </c>
      <c r="J39" s="9">
        <f>SUM(Monatswerte!CI40:CT40)/12</f>
        <v>329.66666666666669</v>
      </c>
      <c r="K39" s="9">
        <f>SUM(Monatswerte!CU40:DF40)/12</f>
        <v>320</v>
      </c>
      <c r="L39" s="9">
        <f>SUM(Monatswerte!DG40:DR40)/12</f>
        <v>307.66666666666669</v>
      </c>
      <c r="M39" s="9">
        <f>SUM(Monatswerte!DS40:ED40)/12</f>
        <v>300.41666666666669</v>
      </c>
      <c r="N39" s="9">
        <f>SUM(Monatswerte!EE40:EP40)/12</f>
        <v>297.41666666666669</v>
      </c>
      <c r="O39" s="9">
        <f>SUM(Monatswerte!EQ40:FB40)/12</f>
        <v>296.16666666666669</v>
      </c>
      <c r="P39" s="9">
        <f>SUM([1]Monatswerte!FC39:FN39)/12</f>
        <v>374.83333333333331</v>
      </c>
      <c r="Q39" s="9">
        <f>SUM([1]Monatswerte!FO39:FZ39)/12</f>
        <v>290.83333333333331</v>
      </c>
      <c r="R39" s="9">
        <f>SUM([1]Monatswerte!GA39:GL39)/12</f>
        <v>244.08333333333334</v>
      </c>
      <c r="S39" s="9">
        <f>SUM([1]Monatswerte!GM39:GX39)/12</f>
        <v>221.08333333333334</v>
      </c>
      <c r="T39" s="9">
        <f>SUM([1]Monatswerte!GY39:HJ39)/12</f>
        <v>278.5</v>
      </c>
      <c r="U39" s="9">
        <f>SUM([1]Monatswerte!HK39:HV39)/12</f>
        <v>209</v>
      </c>
      <c r="V39" s="9">
        <f>SUM([1]Monatswerte!HW39:IH39)/12</f>
        <v>190.08333333333334</v>
      </c>
      <c r="W39" s="9">
        <f>SUM([2]Monatswerte!II39:IT39)/12</f>
        <v>224.08333333333334</v>
      </c>
      <c r="X39" s="9">
        <f>SUM([3]Monatswerte!IU39:JF39)/12</f>
        <v>235.16666666666666</v>
      </c>
    </row>
    <row r="40" spans="1:24" x14ac:dyDescent="0.2">
      <c r="A40" s="1" t="s">
        <v>72</v>
      </c>
      <c r="B40" s="1">
        <v>30</v>
      </c>
      <c r="C40" s="9">
        <f>SUM(Monatswerte!C41:N41)/12</f>
        <v>53.5</v>
      </c>
      <c r="D40" s="9">
        <f>SUM(Monatswerte!O41:Z41)/12</f>
        <v>53.166666666666664</v>
      </c>
      <c r="E40" s="9">
        <f>SUM(Monatswerte!AG41:AL41)/12</f>
        <v>59</v>
      </c>
      <c r="F40" s="9">
        <f>SUM(Monatswerte!AM41:AX41)/12</f>
        <v>109.75</v>
      </c>
      <c r="G40" s="9">
        <f>SUM(Monatswerte!AY41:BJ41)/12</f>
        <v>103.66666666666667</v>
      </c>
      <c r="H40" s="9">
        <f>SUM(Monatswerte!BK41:BV41)/12</f>
        <v>96.5</v>
      </c>
      <c r="I40" s="9">
        <f>SUM(Monatswerte!BW41:CH41)/12</f>
        <v>102.5</v>
      </c>
      <c r="J40" s="9">
        <f>SUM(Monatswerte!CI41:CT41)/12</f>
        <v>119.83333333333333</v>
      </c>
      <c r="K40" s="9">
        <f>SUM(Monatswerte!CU41:DF41)/12</f>
        <v>115.91666666666667</v>
      </c>
      <c r="L40" s="9">
        <f>SUM(Monatswerte!DG41:DR41)/12</f>
        <v>122.91666666666667</v>
      </c>
      <c r="M40" s="9">
        <f>SUM(Monatswerte!DS41:ED41)/12</f>
        <v>98.5</v>
      </c>
      <c r="N40" s="9">
        <f>SUM(Monatswerte!EE41:EP41)/12</f>
        <v>136</v>
      </c>
      <c r="O40" s="9">
        <f>SUM(Monatswerte!EQ41:FB41)/12</f>
        <v>185.75</v>
      </c>
      <c r="P40" s="9">
        <f>SUM([1]Monatswerte!FC40:FN40)/12</f>
        <v>162.83333333333334</v>
      </c>
      <c r="Q40" s="9">
        <f>SUM([1]Monatswerte!FO40:FZ40)/12</f>
        <v>33.75</v>
      </c>
      <c r="R40" s="9">
        <f>SUM([1]Monatswerte!GA40:GL40)/12</f>
        <v>3.75</v>
      </c>
      <c r="S40" s="9">
        <f>SUM([1]Monatswerte!GM40:GX40)/12</f>
        <v>8.8333333333333339</v>
      </c>
      <c r="T40" s="9">
        <f>SUM([1]Monatswerte!GY40:HJ40)/12</f>
        <v>7.416666666666667</v>
      </c>
      <c r="U40" s="9">
        <f>SUM([1]Monatswerte!HK40:HV40)/12</f>
        <v>3.3333333333333335</v>
      </c>
      <c r="V40" s="9">
        <f>SUM([1]Monatswerte!HW40:IH40)/12</f>
        <v>5.666666666666667</v>
      </c>
      <c r="W40" s="9">
        <f>SUM([2]Monatswerte!II40:IT40)/12</f>
        <v>5.583333333333333</v>
      </c>
      <c r="X40" s="9">
        <f>SUM([3]Monatswerte!IU40:JF40)/12</f>
        <v>5.333333333333333</v>
      </c>
    </row>
    <row r="41" spans="1:24" x14ac:dyDescent="0.2">
      <c r="A41" s="1" t="s">
        <v>13</v>
      </c>
      <c r="B41" s="1">
        <v>31</v>
      </c>
      <c r="C41" s="9">
        <f>SUM(Monatswerte!C42:N42)/12</f>
        <v>449</v>
      </c>
      <c r="D41" s="9">
        <f>SUM(Monatswerte!O42:Z42)/12</f>
        <v>473</v>
      </c>
      <c r="E41" s="9">
        <f>SUM(Monatswerte!AG42:AL42)/12</f>
        <v>213.41666666666666</v>
      </c>
      <c r="F41" s="9">
        <f>SUM(Monatswerte!AM42:AX42)/12</f>
        <v>394.75</v>
      </c>
      <c r="G41" s="9">
        <f>SUM(Monatswerte!AY42:BJ42)/12</f>
        <v>319.66666666666669</v>
      </c>
      <c r="H41" s="9">
        <f>SUM(Monatswerte!BK42:BV42)/12</f>
        <v>311.75</v>
      </c>
      <c r="I41" s="9">
        <f>SUM(Monatswerte!BW42:CH42)/12</f>
        <v>349.16666666666669</v>
      </c>
      <c r="J41" s="9">
        <f>SUM(Monatswerte!CI42:CT42)/12</f>
        <v>388.41666666666669</v>
      </c>
      <c r="K41" s="9">
        <f>SUM(Monatswerte!CU42:DF42)/12</f>
        <v>525.16666666666663</v>
      </c>
      <c r="L41" s="9">
        <f>SUM(Monatswerte!DG42:DR42)/12</f>
        <v>541.33333333333337</v>
      </c>
      <c r="M41" s="9">
        <f>SUM(Monatswerte!DS42:ED42)/12</f>
        <v>486.66666666666669</v>
      </c>
      <c r="N41" s="9">
        <f>SUM(Monatswerte!EE42:EP42)/12</f>
        <v>551.83333333333337</v>
      </c>
      <c r="O41" s="9">
        <f>SUM(Monatswerte!EQ42:FB42)/12</f>
        <v>656.66666666666663</v>
      </c>
      <c r="P41" s="9">
        <f>SUM([1]Monatswerte!FC41:FN41)/12</f>
        <v>665.83333333333337</v>
      </c>
      <c r="Q41" s="9">
        <f>SUM([1]Monatswerte!FO41:FZ41)/12</f>
        <v>930.91666666666663</v>
      </c>
      <c r="R41" s="9">
        <f>SUM([1]Monatswerte!GA41:GL41)/12</f>
        <v>1206.75</v>
      </c>
      <c r="S41" s="9">
        <f>SUM([1]Monatswerte!GM41:GX41)/12</f>
        <v>1194.75</v>
      </c>
      <c r="T41" s="9">
        <f>SUM([1]Monatswerte!GY41:HJ41)/12</f>
        <v>1153.5833333333333</v>
      </c>
      <c r="U41" s="9">
        <f>SUM([1]Monatswerte!HK41:HV41)/12</f>
        <v>968.41666666666663</v>
      </c>
      <c r="V41" s="9">
        <f>SUM([1]Monatswerte!HW41:IH41)/12</f>
        <v>954.66666666666663</v>
      </c>
      <c r="W41" s="9">
        <f>SUM([2]Monatswerte!II41:IT41)/12</f>
        <v>1175.3333333333333</v>
      </c>
      <c r="X41" s="9">
        <f>SUM([3]Monatswerte!IU41:JF41)/12</f>
        <v>1332.5833333333333</v>
      </c>
    </row>
    <row r="42" spans="1:24" x14ac:dyDescent="0.2">
      <c r="A42" s="1" t="s">
        <v>14</v>
      </c>
      <c r="B42" s="1">
        <v>32</v>
      </c>
      <c r="C42" s="9">
        <f>SUM(Monatswerte!C43:N43)/12</f>
        <v>4704.083333333333</v>
      </c>
      <c r="D42" s="9">
        <f>SUM(Monatswerte!O43:Z43)/12</f>
        <v>4470.916666666667</v>
      </c>
      <c r="E42" s="9">
        <f>SUM(Monatswerte!AG43:AL43)/12</f>
        <v>1791.8333333333333</v>
      </c>
      <c r="F42" s="9">
        <f>SUM(Monatswerte!AM43:AX43)/12</f>
        <v>3241.6666666666665</v>
      </c>
      <c r="G42" s="9">
        <f>SUM(Monatswerte!AY43:BJ43)/12</f>
        <v>3002.1666666666665</v>
      </c>
      <c r="H42" s="9">
        <f>SUM(Monatswerte!BK43:BV43)/12</f>
        <v>5124.916666666667</v>
      </c>
      <c r="I42" s="9">
        <f>SUM(Monatswerte!BW43:CH43)/12</f>
        <v>4982.25</v>
      </c>
      <c r="J42" s="9">
        <f>SUM(Monatswerte!CI43:CT43)/12</f>
        <v>3445.0833333333335</v>
      </c>
      <c r="K42" s="9">
        <f>SUM(Monatswerte!CU43:DF43)/12</f>
        <v>3506</v>
      </c>
      <c r="L42" s="9">
        <f>SUM(Monatswerte!DG43:DR43)/12</f>
        <v>3884.4166666666665</v>
      </c>
      <c r="M42" s="9">
        <f>SUM(Monatswerte!DS43:ED43)/12</f>
        <v>3557.3333333333335</v>
      </c>
      <c r="N42" s="9">
        <f>SUM(Monatswerte!EE43:EP43)/12</f>
        <v>3844.25</v>
      </c>
      <c r="O42" s="9">
        <f>SUM(Monatswerte!EQ43:FB43)/12</f>
        <v>4314.583333333333</v>
      </c>
      <c r="P42" s="9">
        <f>SUM([1]Monatswerte!FC42:FN42)/12</f>
        <v>4123.25</v>
      </c>
      <c r="Q42" s="9">
        <f>SUM([1]Monatswerte!FO42:FZ42)/12</f>
        <v>3349.25</v>
      </c>
      <c r="R42" s="9">
        <f>SUM([1]Monatswerte!GA42:GL42)/12</f>
        <v>2827.0833333333335</v>
      </c>
      <c r="S42" s="9">
        <f>SUM([1]Monatswerte!GM42:GX42)/12</f>
        <v>4292.083333333333</v>
      </c>
      <c r="T42" s="9">
        <f>SUM([1]Monatswerte!GY42:HJ42)/12</f>
        <v>4355.5</v>
      </c>
      <c r="U42" s="9">
        <f>SUM([1]Monatswerte!HK42:HV42)/12</f>
        <v>3289.0833333333335</v>
      </c>
      <c r="V42" s="9">
        <f>SUM([1]Monatswerte!HW42:IH42)/12</f>
        <v>2918.3333333333335</v>
      </c>
      <c r="W42" s="9">
        <f>SUM([2]Monatswerte!II42:IT42)/12</f>
        <v>3579.9166666666665</v>
      </c>
      <c r="X42" s="9">
        <f>SUM([3]Monatswerte!IU42:JF42)/12</f>
        <v>4609.416666666667</v>
      </c>
    </row>
    <row r="43" spans="1:24" x14ac:dyDescent="0.2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x14ac:dyDescent="0.2">
      <c r="A44" s="1" t="s">
        <v>75</v>
      </c>
      <c r="B44" s="1">
        <v>33</v>
      </c>
      <c r="C44" s="9"/>
      <c r="D44" s="9"/>
      <c r="E44" s="9"/>
      <c r="F44" s="9"/>
      <c r="G44" s="9"/>
      <c r="H44" s="9">
        <f>SUM(Monatswerte!BK45:BV45)/12</f>
        <v>57.666666666666664</v>
      </c>
      <c r="I44" s="9">
        <f>SUM(Monatswerte!BW45:CH45)/12</f>
        <v>84.166666666666671</v>
      </c>
      <c r="J44" s="9">
        <f>SUM(Monatswerte!CI45:CT45)/12</f>
        <v>124.25</v>
      </c>
      <c r="K44" s="9">
        <f>SUM(Monatswerte!CU45:DF45)/12</f>
        <v>80</v>
      </c>
      <c r="L44" s="9">
        <f>SUM(Monatswerte!DG45:DR45)/12</f>
        <v>89.083333333333329</v>
      </c>
      <c r="M44" s="9">
        <f>SUM(Monatswerte!DS45:ED45)/12</f>
        <v>87</v>
      </c>
      <c r="N44" s="9">
        <f>SUM(Monatswerte!EE45:EP45)/12</f>
        <v>87.75</v>
      </c>
      <c r="O44" s="9">
        <f>SUM(Monatswerte!EQ45:FB45)/12</f>
        <v>104</v>
      </c>
      <c r="P44" s="9">
        <f>SUM([1]Monatswerte!EC44:FN44)/12</f>
        <v>319.33333333333331</v>
      </c>
      <c r="Q44" s="9">
        <f>SUM([1]Monatswerte!FO44:FZ44)/12</f>
        <v>89.916666666666671</v>
      </c>
      <c r="R44" s="9">
        <f>SUM([1]Monatswerte!GA44:GL44)/12</f>
        <v>78.75</v>
      </c>
      <c r="S44" s="9">
        <f>SUM([1]Monatswerte!GM44:GX44)/12</f>
        <v>32</v>
      </c>
      <c r="T44" s="9">
        <f>SUM([1]Monatswerte!GN44:GY44)/12</f>
        <v>33.833333333333336</v>
      </c>
      <c r="U44" s="9">
        <f>SUM([1]Monatswerte!HK44:HV44)/12</f>
        <v>92.166666666666671</v>
      </c>
      <c r="V44" s="9">
        <f>SUM([1]Monatswerte!HW44:IH44)/12</f>
        <v>68.166666666666671</v>
      </c>
      <c r="W44" s="9">
        <f>SUM([2]Monatswerte!II44:IT44)/12</f>
        <v>70.25</v>
      </c>
      <c r="X44" s="9"/>
    </row>
    <row r="45" spans="1:24" ht="14.25" x14ac:dyDescent="0.2">
      <c r="A45" s="2"/>
      <c r="B45" s="2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4.25" x14ac:dyDescent="0.25">
      <c r="A46" s="16" t="s">
        <v>16</v>
      </c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x14ac:dyDescent="0.2">
      <c r="A47" s="17" t="s">
        <v>17</v>
      </c>
      <c r="B47" s="1">
        <v>34</v>
      </c>
      <c r="C47" s="9">
        <f>SUM(Monatswerte!C48:N48)/12</f>
        <v>1845.75</v>
      </c>
      <c r="D47" s="9">
        <f>SUM(Monatswerte!O48:Z48)/12</f>
        <v>1853.5833333333333</v>
      </c>
      <c r="E47" s="9">
        <f>SUM(Monatswerte!AG48:AL48)/12</f>
        <v>811.25</v>
      </c>
      <c r="F47" s="9">
        <f>SUM(Monatswerte!AM48:AX48)/12</f>
        <v>1538.5</v>
      </c>
      <c r="G47" s="9">
        <f>SUM(Monatswerte!AY48:BJ48)/12</f>
        <v>1540.4166666666667</v>
      </c>
      <c r="H47" s="9">
        <f>SUM(Monatswerte!BK48:BV48)/12</f>
        <v>2301.3333333333335</v>
      </c>
      <c r="I47" s="9">
        <f>SUM(Monatswerte!BW48:CH48)/12</f>
        <v>1789.6666666666667</v>
      </c>
      <c r="J47" s="9">
        <f>SUM(Monatswerte!CI48:CT48)/12</f>
        <v>1656.0833333333333</v>
      </c>
      <c r="K47" s="9">
        <f>SUM(Monatswerte!CU48:DF48)/12</f>
        <v>1767.8333333333333</v>
      </c>
      <c r="L47" s="9">
        <f>SUM(Monatswerte!DG48:DR48)/12</f>
        <v>1859.5833333333333</v>
      </c>
      <c r="M47" s="9">
        <f>SUM(Monatswerte!DS48:ED48)/12</f>
        <v>1767.5833333333333</v>
      </c>
      <c r="N47" s="9">
        <f>SUM(Monatswerte!EE48:EP48)/12</f>
        <v>2063.8333333333335</v>
      </c>
      <c r="O47" s="9">
        <f>SUM(Monatswerte!EQ48:FB48)/12</f>
        <v>2100.9166666666665</v>
      </c>
      <c r="P47" s="9">
        <f>SUM([1]Monatswerte!FC47:FN47)/12</f>
        <v>2040.9166666666667</v>
      </c>
      <c r="Q47" s="9">
        <f>SUM([1]Monatswerte!FO47:FZ47)/12</f>
        <v>1908.9166666666667</v>
      </c>
      <c r="R47" s="9">
        <f>SUM([1]Monatswerte!GA47:GL47)/12</f>
        <v>1930.3333333333333</v>
      </c>
      <c r="S47" s="9">
        <f>SUM([1]Monatswerte!GM47:GX47)/12</f>
        <v>2349.4166666666665</v>
      </c>
      <c r="T47" s="9">
        <f>SUM([1]Monatswerte!GY47:HJ47)/12</f>
        <v>1873.8333333333333</v>
      </c>
      <c r="U47" s="9">
        <f>SUM([1]Monatswerte!HK47:HV47)/12</f>
        <v>1660</v>
      </c>
      <c r="V47" s="9">
        <f>SUM([1]Monatswerte!HW47:IH47)/12</f>
        <v>1815.75</v>
      </c>
      <c r="W47" s="9">
        <f>SUM([2]Monatswerte!II47:IT47)/12</f>
        <v>2157.9166666666665</v>
      </c>
      <c r="X47" s="9">
        <f>SUM([3]Monatswerte!IU47:JF47)/12</f>
        <v>2390</v>
      </c>
    </row>
    <row r="48" spans="1:24" x14ac:dyDescent="0.2">
      <c r="A48" s="17" t="s">
        <v>18</v>
      </c>
      <c r="B48" s="1">
        <v>35</v>
      </c>
      <c r="C48" s="9">
        <f>SUM(Monatswerte!C49:N49)/12</f>
        <v>1508.0833333333333</v>
      </c>
      <c r="D48" s="9">
        <f>SUM(Monatswerte!O49:Z49)/12</f>
        <v>1427.0833333333333</v>
      </c>
      <c r="E48" s="9">
        <f>SUM(Monatswerte!AG49:AL49)/12</f>
        <v>574.83333333333337</v>
      </c>
      <c r="F48" s="9">
        <f>SUM(Monatswerte!AM49:AX49)/12</f>
        <v>1100.25</v>
      </c>
      <c r="G48" s="9">
        <f>SUM(Monatswerte!AY49:BJ49)/12</f>
        <v>999.08333333333337</v>
      </c>
      <c r="H48" s="9">
        <f>SUM(Monatswerte!BK49:BV49)/12</f>
        <v>1603.1666666666667</v>
      </c>
      <c r="I48" s="9">
        <f>SUM(Monatswerte!BW49:CH49)/12</f>
        <v>1346</v>
      </c>
      <c r="J48" s="9">
        <f>SUM(Monatswerte!CI49:CT49)/12</f>
        <v>1052.0833333333333</v>
      </c>
      <c r="K48" s="9">
        <f>SUM(Monatswerte!CU49:DF49)/12</f>
        <v>1219.8333333333333</v>
      </c>
      <c r="L48" s="9">
        <f>SUM(Monatswerte!DG49:DR49)/12</f>
        <v>1291.5</v>
      </c>
      <c r="M48" s="9">
        <f>SUM(Monatswerte!DS49:ED49)/12</f>
        <v>1160.0833333333333</v>
      </c>
      <c r="N48" s="9">
        <f>SUM(Monatswerte!EE49:EP49)/12</f>
        <v>1304.9166666666667</v>
      </c>
      <c r="O48" s="9">
        <f>SUM(Monatswerte!EQ49:FB49)/12</f>
        <v>1428.8333333333333</v>
      </c>
      <c r="P48" s="9">
        <f>SUM([1]Monatswerte!FC48:FN48)/12</f>
        <v>1344.75</v>
      </c>
      <c r="Q48" s="9">
        <f>SUM([1]Monatswerte!FO48:FZ48)/12</f>
        <v>1199.8333333333333</v>
      </c>
      <c r="R48" s="9">
        <f>SUM([1]Monatswerte!GA48:GL48)/12</f>
        <v>1178.9166666666667</v>
      </c>
      <c r="S48" s="9">
        <f>SUM([1]Monatswerte!GM48:GX48)/12</f>
        <v>1545.8333333333333</v>
      </c>
      <c r="T48" s="9">
        <f>SUM([1]Monatswerte!GY48:HJ48)/12</f>
        <v>1321.0833333333333</v>
      </c>
      <c r="U48" s="9">
        <f>SUM([1]Monatswerte!HK48:HV48)/12</f>
        <v>1059.9166666666667</v>
      </c>
      <c r="V48" s="9">
        <f>SUM([1]Monatswerte!HW48:IH48)/12</f>
        <v>1059.0833333333333</v>
      </c>
      <c r="W48" s="9">
        <f>SUM([2]Monatswerte!II48:IT48)/12</f>
        <v>1311.5</v>
      </c>
      <c r="X48" s="9">
        <f>SUM([3]Monatswerte!IU48:JF48)/12</f>
        <v>1585.4166666666667</v>
      </c>
    </row>
    <row r="49" spans="1:24" x14ac:dyDescent="0.2">
      <c r="A49" s="17" t="s">
        <v>19</v>
      </c>
      <c r="B49" s="1">
        <v>36</v>
      </c>
      <c r="C49" s="9">
        <f>SUM(Monatswerte!C50:N50)/12</f>
        <v>1045.6666666666667</v>
      </c>
      <c r="D49" s="9">
        <f>SUM(Monatswerte!O50:Z50)/12</f>
        <v>979.33333333333337</v>
      </c>
      <c r="E49" s="9">
        <f>SUM(Monatswerte!AG50:AL50)/12</f>
        <v>367.33333333333331</v>
      </c>
      <c r="F49" s="9">
        <f>SUM(Monatswerte!AM50:AX50)/12</f>
        <v>720.33333333333337</v>
      </c>
      <c r="G49" s="9">
        <f>SUM(Monatswerte!AY50:BJ50)/12</f>
        <v>628.58333333333337</v>
      </c>
      <c r="H49" s="9">
        <f>SUM(Monatswerte!BK50:BV50)/12</f>
        <v>1040.8333333333333</v>
      </c>
      <c r="I49" s="9">
        <f>SUM(Monatswerte!BW50:CH50)/12</f>
        <v>990.41666666666663</v>
      </c>
      <c r="J49" s="9">
        <f>SUM(Monatswerte!CI50:CT50)/12</f>
        <v>658.91666666666663</v>
      </c>
      <c r="K49" s="9">
        <f>SUM(Monatswerte!CU50:DF50)/12</f>
        <v>784.58333333333337</v>
      </c>
      <c r="L49" s="9">
        <f>SUM(Monatswerte!DG50:DR50)/12</f>
        <v>862.91666666666663</v>
      </c>
      <c r="M49" s="9">
        <f>SUM(Monatswerte!DS50:ED50)/12</f>
        <v>765.41666666666663</v>
      </c>
      <c r="N49" s="9">
        <f>SUM(Monatswerte!EE50:EP50)/12</f>
        <v>824.08333333333337</v>
      </c>
      <c r="O49" s="9">
        <f>SUM(Monatswerte!EQ50:FB50)/12</f>
        <v>980.5</v>
      </c>
      <c r="P49" s="9">
        <f>SUM([1]Monatswerte!FC49:FN49)/12</f>
        <v>914.66666666666663</v>
      </c>
      <c r="Q49" s="9">
        <f>SUM([1]Monatswerte!FO49:FZ49)/12</f>
        <v>822.25</v>
      </c>
      <c r="R49" s="9">
        <f>SUM([1]Monatswerte!GA49:GL49)/12</f>
        <v>760.83333333333337</v>
      </c>
      <c r="S49" s="9">
        <f>SUM([1]Monatswerte!GM49:GX49)/12</f>
        <v>1044.1666666666667</v>
      </c>
      <c r="T49" s="9">
        <f>SUM([1]Monatswerte!GY49:HJ49)/12</f>
        <v>1015.5</v>
      </c>
      <c r="U49" s="9">
        <f>SUM([1]Monatswerte!HK49:HV49)/12</f>
        <v>721.33333333333337</v>
      </c>
      <c r="V49" s="9">
        <f>SUM([1]Monatswerte!HW49:IH49)/12</f>
        <v>639.33333333333337</v>
      </c>
      <c r="W49" s="9">
        <f>SUM([2]Monatswerte!II49:IT49)/12</f>
        <v>843.08333333333337</v>
      </c>
      <c r="X49" s="9">
        <f>SUM([3]Monatswerte!IU49:JF49)/12</f>
        <v>1081.0833333333333</v>
      </c>
    </row>
    <row r="50" spans="1:24" x14ac:dyDescent="0.2">
      <c r="A50" s="17" t="s">
        <v>20</v>
      </c>
      <c r="B50" s="1">
        <v>37</v>
      </c>
      <c r="C50" s="9">
        <f>SUM(Monatswerte!C51:N51)/12</f>
        <v>840.58333333333337</v>
      </c>
      <c r="D50" s="9">
        <f>SUM(Monatswerte!O51:Z51)/12</f>
        <v>764</v>
      </c>
      <c r="E50" s="9">
        <f>SUM(Monatswerte!AG51:AL51)/12</f>
        <v>313.91666666666669</v>
      </c>
      <c r="F50" s="9">
        <f>SUM(Monatswerte!AM51:AX51)/12</f>
        <v>534.66666666666663</v>
      </c>
      <c r="G50" s="9">
        <f>SUM(Monatswerte!AY51:BJ51)/12</f>
        <v>475.66666666666669</v>
      </c>
      <c r="H50" s="9">
        <f>SUM(Monatswerte!BK51:BV51)/12</f>
        <v>727.41666666666663</v>
      </c>
      <c r="I50" s="9">
        <f>SUM(Monatswerte!BW51:CH51)/12</f>
        <v>873.08333333333337</v>
      </c>
      <c r="J50" s="9">
        <f>SUM(Monatswerte!CI51:CT51)/12</f>
        <v>502.25</v>
      </c>
      <c r="K50" s="9">
        <f>SUM(Monatswerte!CU51:DF51)/12</f>
        <v>567.83333333333337</v>
      </c>
      <c r="L50" s="9">
        <f>SUM(Monatswerte!DG51:DR51)/12</f>
        <v>644.41666666666663</v>
      </c>
      <c r="M50" s="9">
        <f>SUM(Monatswerte!DS51:ED51)/12</f>
        <v>586.16666666666663</v>
      </c>
      <c r="N50" s="9">
        <f>SUM(Monatswerte!EE51:EP51)/12</f>
        <v>605.58333333333337</v>
      </c>
      <c r="O50" s="9">
        <f>SUM(Monatswerte!EQ51:FB51)/12</f>
        <v>761.83333333333337</v>
      </c>
      <c r="P50" s="9">
        <f>SUM([1]Monatswerte!FC50:FN50)/12</f>
        <v>732.91666666666663</v>
      </c>
      <c r="Q50" s="9">
        <f>SUM([1]Monatswerte!FO50:FZ50)/12</f>
        <v>655.5</v>
      </c>
      <c r="R50" s="9">
        <f>SUM([1]Monatswerte!GA50:GL50)/12</f>
        <v>558.33333333333337</v>
      </c>
      <c r="S50" s="9">
        <f>SUM([1]Monatswerte!GM50:GX50)/12</f>
        <v>777.16666666666663</v>
      </c>
      <c r="T50" s="9">
        <f>SUM([1]Monatswerte!GY50:HJ50)/12</f>
        <v>895.25</v>
      </c>
      <c r="U50" s="9">
        <f>SUM([1]Monatswerte!HK50:HV50)/12</f>
        <v>560.66666666666663</v>
      </c>
      <c r="V50" s="9">
        <f>SUM([1]Monatswerte!HW50:IH50)/12</f>
        <v>459.25</v>
      </c>
      <c r="W50" s="9">
        <f>SUM([2]Monatswerte!II50:IT50)/12</f>
        <v>601.58333333333337</v>
      </c>
      <c r="X50" s="9">
        <f>SUM([3]Monatswerte!IU50:JF50)/12</f>
        <v>824.58333333333337</v>
      </c>
    </row>
    <row r="51" spans="1:24" x14ac:dyDescent="0.2">
      <c r="A51" s="17" t="s">
        <v>21</v>
      </c>
      <c r="B51" s="1">
        <v>38</v>
      </c>
      <c r="C51" s="9">
        <f>SUM(Monatswerte!C52:N52)/12</f>
        <v>2012.25</v>
      </c>
      <c r="D51" s="9">
        <f>SUM(Monatswerte!O52:Z52)/12</f>
        <v>2052.3333333333335</v>
      </c>
      <c r="E51" s="9">
        <f>SUM(Monatswerte!AG52:AL52)/12</f>
        <v>937</v>
      </c>
      <c r="F51" s="9">
        <f>SUM(Monatswerte!AM52:AX52)/12</f>
        <v>1535.9166666666667</v>
      </c>
      <c r="G51" s="9">
        <f>SUM(Monatswerte!AY52:BJ52)/12</f>
        <v>1223.8333333333333</v>
      </c>
      <c r="H51" s="9">
        <f>SUM(Monatswerte!BK52:BV52)/12</f>
        <v>1376.9166666666667</v>
      </c>
      <c r="I51" s="9">
        <f>SUM(Monatswerte!BW52:CH52)/12</f>
        <v>2311.9166666666665</v>
      </c>
      <c r="J51" s="9">
        <f>SUM(Monatswerte!CI52:CT52)/12</f>
        <v>1659.8333333333333</v>
      </c>
      <c r="K51" s="9">
        <f>SUM(Monatswerte!CU52:DF52)/12</f>
        <v>1267.75</v>
      </c>
      <c r="L51" s="9">
        <f>SUM(Monatswerte!DG52:DR52)/12</f>
        <v>1418.1666666666667</v>
      </c>
      <c r="M51" s="9">
        <f>SUM(Monatswerte!DS52:ED52)/12</f>
        <v>1356.8333333333333</v>
      </c>
      <c r="N51" s="9">
        <f>SUM(Monatswerte!EE52:EP52)/12</f>
        <v>1296</v>
      </c>
      <c r="O51" s="9">
        <f>SUM(Monatswerte!EQ52:FB52)/12</f>
        <v>1602.3333333333333</v>
      </c>
      <c r="P51" s="9">
        <f>SUM([1]Monatswerte!FC51:FN51)/12</f>
        <v>1826.8333333333333</v>
      </c>
      <c r="Q51" s="9">
        <f>SUM([1]Monatswerte!FO51:FZ51)/12</f>
        <v>1593.8333333333333</v>
      </c>
      <c r="R51" s="9">
        <f>SUM([1]Monatswerte!GA51:GL51)/12</f>
        <v>1289.1666666666667</v>
      </c>
      <c r="S51" s="9">
        <f>SUM([1]Monatswerte!GM51:GX51)/12</f>
        <v>1664.6666666666667</v>
      </c>
      <c r="T51" s="9">
        <f>SUM([1]Monatswerte!GY51:HJ51)/12</f>
        <v>2727.3333333333335</v>
      </c>
      <c r="U51" s="9">
        <f>SUM([1]Monatswerte!HK51:HV51)/12</f>
        <v>2121.0833333333335</v>
      </c>
      <c r="V51" s="9">
        <f>SUM([1]Monatswerte!HW51:IH51)/12</f>
        <v>1210.4166666666667</v>
      </c>
      <c r="W51" s="9">
        <f>SUM([2]Monatswerte!II51:IT51)/12</f>
        <v>1167.8333333333333</v>
      </c>
      <c r="X51" s="9">
        <f>SUM([3]Monatswerte!IU51:JF51)/12</f>
        <v>1604.1666666666667</v>
      </c>
    </row>
    <row r="52" spans="1:24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4.25" x14ac:dyDescent="0.25">
      <c r="A53" s="16" t="s">
        <v>9</v>
      </c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x14ac:dyDescent="0.2">
      <c r="A54" s="1" t="s">
        <v>6</v>
      </c>
      <c r="B54" s="1">
        <v>39</v>
      </c>
      <c r="C54" s="9">
        <f>SUM(Monatswerte!C55:N55)/12</f>
        <v>162</v>
      </c>
      <c r="D54" s="9">
        <f>SUM(Monatswerte!O55:Z55)/12</f>
        <v>179</v>
      </c>
      <c r="E54" s="9">
        <f>SUM(Monatswerte!AG55:AL55)/12</f>
        <v>69.583333333333329</v>
      </c>
      <c r="F54" s="9">
        <f>SUM(Monatswerte!AM55:AX55)/12</f>
        <v>206.5</v>
      </c>
      <c r="G54" s="9">
        <f>SUM(Monatswerte!AY55:BJ55)/12</f>
        <v>191.58333333333334</v>
      </c>
      <c r="H54" s="9">
        <f>SUM(Monatswerte!BK55:BV55)/12</f>
        <v>173.08333333333334</v>
      </c>
      <c r="I54" s="9">
        <f>SUM(Monatswerte!BW55:CH55)/12</f>
        <v>206.33333333333334</v>
      </c>
      <c r="J54" s="9">
        <f>SUM(Monatswerte!CI55:CT55)/12</f>
        <v>202.41666666666666</v>
      </c>
      <c r="K54" s="9">
        <f>SUM(Monatswerte!CU55:DF55)/12</f>
        <v>179.16666666666666</v>
      </c>
      <c r="L54" s="9">
        <f>SUM(Monatswerte!DG55:DR55)/12</f>
        <v>161.08333333333334</v>
      </c>
      <c r="M54" s="9">
        <f>SUM(Monatswerte!DS55:ED55)/12</f>
        <v>153.41666666666666</v>
      </c>
      <c r="N54" s="9">
        <f>SUM(Monatswerte!EE55:EP55)/12</f>
        <v>126.25</v>
      </c>
      <c r="O54" s="9">
        <f>SUM(Monatswerte!EQ55:FB55)/12</f>
        <v>112.5</v>
      </c>
      <c r="P54" s="9">
        <f>SUM([1]Monatswerte!FC54:FN54)/12</f>
        <v>134.91666666666666</v>
      </c>
      <c r="Q54" s="9">
        <f>SUM([1]Monatswerte!FO54:FZ54)/12</f>
        <v>419</v>
      </c>
      <c r="R54" s="9">
        <f>SUM([1]Monatswerte!GA54:GL54)/12</f>
        <v>722.66666666666663</v>
      </c>
      <c r="S54" s="9">
        <f>SUM([1]Monatswerte!GM54:GX54)/12</f>
        <v>900.08333333333337</v>
      </c>
      <c r="T54" s="9">
        <f>SUM([1]Monatswerte!GY54:HJ54)/12</f>
        <v>1290.8333333333333</v>
      </c>
      <c r="U54" s="9">
        <f>SUM([1]Monatswerte!HK54:HV54)/12</f>
        <v>1631.5833333333333</v>
      </c>
      <c r="V54" s="9">
        <f>SUM([1]Monatswerte!HW54:IH54)/12</f>
        <v>1589.4166666666667</v>
      </c>
      <c r="W54" s="9">
        <f>SUM([2]Monatswerte!II54:IT54)/12</f>
        <v>1444.5833333333333</v>
      </c>
      <c r="X54" s="9">
        <f>SUM([3]Monatswerte!IU54:JF54)/12</f>
        <v>1173.6666666666667</v>
      </c>
    </row>
    <row r="55" spans="1:24" x14ac:dyDescent="0.2">
      <c r="A55" s="1" t="s">
        <v>7</v>
      </c>
      <c r="B55" s="1">
        <v>40</v>
      </c>
      <c r="C55" s="9">
        <f>SUM(Monatswerte!C56:N56)/12</f>
        <v>154.33333333333334</v>
      </c>
      <c r="D55" s="9">
        <f>SUM(Monatswerte!O56:Z56)/12</f>
        <v>188</v>
      </c>
      <c r="E55" s="9">
        <f>SUM(Monatswerte!AG56:AL56)/12</f>
        <v>70.25</v>
      </c>
      <c r="F55" s="9">
        <f>SUM(Monatswerte!AM56:AX56)/12</f>
        <v>203.83333333333334</v>
      </c>
      <c r="G55" s="9">
        <f>SUM(Monatswerte!AY56:BJ56)/12</f>
        <v>196.91666666666666</v>
      </c>
      <c r="H55" s="9">
        <f>SUM(Monatswerte!BK56:BV56)/12</f>
        <v>167.5</v>
      </c>
      <c r="I55" s="9">
        <f>SUM(Monatswerte!BW56:CH56)/12</f>
        <v>202.16666666666666</v>
      </c>
      <c r="J55" s="9">
        <f>SUM(Monatswerte!CI56:CT56)/12</f>
        <v>208.33333333333334</v>
      </c>
      <c r="K55" s="9">
        <f>SUM(Monatswerte!CU56:DF56)/12</f>
        <v>179.16666666666666</v>
      </c>
      <c r="L55" s="9">
        <f>SUM(Monatswerte!DG56:DR56)/12</f>
        <v>162.5</v>
      </c>
      <c r="M55" s="9">
        <f>SUM(Monatswerte!DS56:ED56)/12</f>
        <v>157.5</v>
      </c>
      <c r="N55" s="9">
        <f>SUM(Monatswerte!EE56:EP56)/12</f>
        <v>128.66666666666666</v>
      </c>
      <c r="O55" s="9">
        <f>SUM(Monatswerte!EQ56:FB56)/12</f>
        <v>110.08333333333333</v>
      </c>
      <c r="P55" s="9">
        <f>SUM([1]Monatswerte!FC55:FN55)/12</f>
        <v>130.41666666666666</v>
      </c>
      <c r="Q55" s="9">
        <f>SUM([1]Monatswerte!FO55:FZ55)/12</f>
        <v>385.41666666666669</v>
      </c>
      <c r="R55" s="9">
        <f>SUM([1]Monatswerte!GA55:GL55)/12</f>
        <v>710.91666666666663</v>
      </c>
      <c r="S55" s="9">
        <f>SUM([1]Monatswerte!GM55:GX55)/12</f>
        <v>882.75</v>
      </c>
      <c r="T55" s="9">
        <f>SUM([1]Monatswerte!GY55:HJ55)/12</f>
        <v>1276.5833333333333</v>
      </c>
      <c r="U55" s="9">
        <f>SUM([1]Monatswerte!HK55:HV55)/12</f>
        <v>1574.8333333333333</v>
      </c>
      <c r="V55" s="9">
        <f>SUM([1]Monatswerte!HW55:IH55)/12</f>
        <v>1617.6666666666667</v>
      </c>
      <c r="W55" s="9">
        <f>SUM([2]Monatswerte!II55:IT55)/12</f>
        <v>1445.0833333333333</v>
      </c>
      <c r="X55" s="9">
        <f>SUM([3]Monatswerte!IU55:JF55)/12</f>
        <v>1178.6666666666667</v>
      </c>
    </row>
    <row r="56" spans="1:24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4.25" x14ac:dyDescent="0.25">
      <c r="A57" s="4" t="s">
        <v>44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x14ac:dyDescent="0.2">
      <c r="A58" s="1" t="s">
        <v>68</v>
      </c>
      <c r="B58" s="1">
        <v>41</v>
      </c>
      <c r="C58" s="9">
        <f>SUM(Monatswerte!C59:N59)/12</f>
        <v>7415.416666666667</v>
      </c>
      <c r="D58" s="9">
        <f>SUM(Monatswerte!O59:Z59)/12</f>
        <v>4267.916666666667</v>
      </c>
      <c r="E58" s="9">
        <f>SUM(Monatswerte!AG59:AL59)/12</f>
        <v>57.5</v>
      </c>
      <c r="F58" s="9">
        <f>SUM(Monatswerte!AM59:AX59)/12</f>
        <v>451.83333333333331</v>
      </c>
      <c r="G58" s="9">
        <f>SUM(Monatswerte!AY59:BJ59)/12</f>
        <v>5765.333333333333</v>
      </c>
      <c r="H58" s="19">
        <f>SUM(Monatswerte!BK59:BV59)/12</f>
        <v>186240.58333333334</v>
      </c>
      <c r="I58" s="9">
        <f>SUM(Monatswerte!BW59:CH59)/12</f>
        <v>32099.583333333332</v>
      </c>
      <c r="J58" s="9">
        <f>SUM(Monatswerte!CI59:CT59)/12</f>
        <v>11281.833333333334</v>
      </c>
      <c r="K58" s="9">
        <f>SUM(Monatswerte!CU59:DF59)/12</f>
        <v>21761.25</v>
      </c>
      <c r="L58" s="9">
        <f>SUM(Monatswerte!DG59:DR59)/12</f>
        <v>21794.666666666668</v>
      </c>
      <c r="M58" s="9">
        <f>SUM(Monatswerte!DS59:ED59)/12</f>
        <v>5931.333333333333</v>
      </c>
      <c r="N58" s="9">
        <f>SUM(Monatswerte!EE59:EP59)/12</f>
        <v>13262.25</v>
      </c>
      <c r="O58" s="9">
        <f>SUM(Monatswerte!EQ59:FB59)/12</f>
        <v>20903.583333333332</v>
      </c>
      <c r="P58" s="9">
        <f>SUM([1]Monatswerte!EC58:FN58)/12</f>
        <v>41624.666666666664</v>
      </c>
      <c r="Q58" s="9">
        <f>SUM([1]Monatswerte!FO58:FZ58)/12</f>
        <v>4073.3333333333335</v>
      </c>
      <c r="R58" s="9">
        <f>SUM([1]Monatswerte!GA58:GL58)/12</f>
        <v>6576.333333333333</v>
      </c>
      <c r="S58" s="9">
        <f>SUM([1]Monatswerte!GM58:GX58)/12</f>
        <v>805247.25</v>
      </c>
      <c r="T58" s="9">
        <f>SUM([1]Monatswerte!GN58:GY58)/12</f>
        <v>879975.08333333337</v>
      </c>
      <c r="U58" s="9">
        <f>SUM([1]Monatswerte!HK58:HV58)/12</f>
        <v>39285.246666666666</v>
      </c>
      <c r="V58" s="9">
        <f>SUM([1]Monatswerte!HW58:IH58)/12</f>
        <v>17765.166666666668</v>
      </c>
      <c r="W58" s="9">
        <f>SUM([2]Monatswerte!II58:IT58)/12</f>
        <v>34359.416666666664</v>
      </c>
      <c r="X58" s="9"/>
    </row>
    <row r="59" spans="1:24" x14ac:dyDescent="0.2">
      <c r="A59" s="1" t="s">
        <v>69</v>
      </c>
      <c r="B59" s="1">
        <v>42</v>
      </c>
      <c r="C59" s="9">
        <f>SUM(Monatswerte!C60:N60)/12</f>
        <v>15.916666666666666</v>
      </c>
      <c r="D59" s="9">
        <f>SUM(Monatswerte!O60:Z60)/12</f>
        <v>4.416666666666667</v>
      </c>
      <c r="E59" s="9">
        <f>SUM(Monatswerte!AG60:AL60)/12</f>
        <v>0.25</v>
      </c>
      <c r="F59" s="9">
        <f>SUM(Monatswerte!AM60:AX60)/12</f>
        <v>2.25</v>
      </c>
      <c r="G59" s="9">
        <f>SUM(Monatswerte!AY60:BJ60)/12</f>
        <v>3.5</v>
      </c>
      <c r="H59" s="9">
        <f>SUM(Monatswerte!BK60:BV60)/12</f>
        <v>184.08333333333334</v>
      </c>
      <c r="I59" s="9">
        <f>SUM(Monatswerte!BW60:CH60)/12</f>
        <v>71</v>
      </c>
      <c r="J59" s="9">
        <f>SUM(Monatswerte!CI60:CT60)/12</f>
        <v>15.666666666666666</v>
      </c>
      <c r="K59" s="9">
        <f>SUM(Monatswerte!CU60:DF60)/12</f>
        <v>30.333333333333332</v>
      </c>
      <c r="L59" s="9">
        <f>SUM(Monatswerte!DG60:DR60)/12</f>
        <v>28.833333333333332</v>
      </c>
      <c r="M59" s="9">
        <f>SUM(Monatswerte!DS60:ED60)/12</f>
        <v>7.083333333333333</v>
      </c>
      <c r="N59" s="9">
        <f>SUM(Monatswerte!EE60:EP60)/12</f>
        <v>21.166666666666668</v>
      </c>
      <c r="O59" s="9">
        <f>SUM(Monatswerte!EQ60:FB60)/12</f>
        <v>34.25</v>
      </c>
      <c r="P59" s="9">
        <f>SUM([1]Monatswerte!EC59:FN59)/12</f>
        <v>70.75</v>
      </c>
      <c r="Q59" s="9">
        <f>SUM([1]Monatswerte!FO59:FZ59)/12</f>
        <v>3.5</v>
      </c>
      <c r="R59" s="9">
        <f>SUM([1]Monatswerte!GA59:GL59)/12</f>
        <v>4.25</v>
      </c>
      <c r="S59" s="9">
        <f>SUM([1]Monatswerte!GM59:GX59)/12</f>
        <v>1410.1666666666667</v>
      </c>
      <c r="T59" s="9">
        <f>SUM([1]Monatswerte!GN59:GY59)/12</f>
        <v>1539.3333333333333</v>
      </c>
      <c r="U59" s="9">
        <f>SUM([1]Monatswerte!HK59:HV59)/12</f>
        <v>83.25</v>
      </c>
      <c r="V59" s="9">
        <f>SUM([1]Monatswerte!HW59:IH59)/12</f>
        <v>14.083333333333334</v>
      </c>
      <c r="W59" s="9">
        <f>SUM([2]Monatswerte!II59:IT59)/12</f>
        <v>32.083333333333336</v>
      </c>
      <c r="X59" s="9"/>
    </row>
    <row r="60" spans="1:24" x14ac:dyDescent="0.2">
      <c r="A60" s="1" t="s">
        <v>70</v>
      </c>
      <c r="B60" s="1">
        <v>43</v>
      </c>
      <c r="C60" s="9">
        <f>SUM(Monatswerte!C61:N61)/12</f>
        <v>119.75</v>
      </c>
      <c r="D60" s="9">
        <f>SUM(Monatswerte!O61:Z61)/12</f>
        <v>83.666666666666671</v>
      </c>
      <c r="E60" s="9">
        <f>SUM(Monatswerte!AG61:AL61)/12</f>
        <v>0.66666666666666663</v>
      </c>
      <c r="F60" s="9">
        <f>SUM(Monatswerte!AM61:AX61)/12</f>
        <v>6.833333333333333</v>
      </c>
      <c r="G60" s="9">
        <f>SUM(Monatswerte!AY61:BJ61)/12</f>
        <v>83.333333333333329</v>
      </c>
      <c r="H60" s="9">
        <f>SUM(Monatswerte!BK61:BV61)/12</f>
        <v>3205.5833333333335</v>
      </c>
      <c r="I60" s="9">
        <f>SUM(Monatswerte!BW61:CH61)/12</f>
        <v>575</v>
      </c>
      <c r="J60" s="9">
        <f>SUM(Monatswerte!CI61:CT61)/12</f>
        <v>207.91666666666666</v>
      </c>
      <c r="K60" s="9">
        <f>SUM(Monatswerte!CU61:DF61)/12</f>
        <v>393.5</v>
      </c>
      <c r="L60" s="9">
        <f>SUM(Monatswerte!DG61:DR61)/12</f>
        <v>539.83333333333337</v>
      </c>
      <c r="M60" s="9">
        <f>SUM(Monatswerte!DS61:ED61)/12</f>
        <v>149.41666666666666</v>
      </c>
      <c r="N60" s="9">
        <f>SUM(Monatswerte!EE61:EP61)/12</f>
        <v>263.58333333333331</v>
      </c>
      <c r="O60" s="9">
        <f>SUM(Monatswerte!EQ61:FB61)/12</f>
        <v>461.16666666666669</v>
      </c>
      <c r="P60" s="9">
        <f>SUM([1]Monatswerte!EC60:FN60)/12</f>
        <v>881.08333333333337</v>
      </c>
      <c r="Q60" s="9">
        <f>SUM([1]Monatswerte!FO60:FZ60)/12</f>
        <v>73.083333333333329</v>
      </c>
      <c r="R60" s="9">
        <f>SUM([1]Monatswerte!GA60:GL60)/12</f>
        <v>169.08333333333334</v>
      </c>
      <c r="S60" s="9">
        <f>SUM([1]Monatswerte!GM60:GX60)/12</f>
        <v>13687.5</v>
      </c>
      <c r="T60" s="9">
        <f>SUM([1]Monatswerte!GN60:GY60)/12</f>
        <v>14913.75</v>
      </c>
      <c r="U60" s="9">
        <f>SUM([1]Monatswerte!HK60:HV60)/12</f>
        <v>708.66666666666663</v>
      </c>
      <c r="V60" s="9">
        <f>SUM([1]Monatswerte!HW60:IH60)/12</f>
        <v>335</v>
      </c>
      <c r="W60" s="9">
        <f>SUM([2]Monatswerte!II60:IT60)/12</f>
        <v>648.16666666666663</v>
      </c>
      <c r="X60" s="9"/>
    </row>
    <row r="61" spans="1:24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x14ac:dyDescent="0.2">
      <c r="A62" s="1" t="s">
        <v>67</v>
      </c>
      <c r="B62" s="1">
        <v>44</v>
      </c>
      <c r="C62" s="9"/>
      <c r="D62" s="9"/>
      <c r="E62" s="9"/>
      <c r="F62" s="9"/>
      <c r="G62" s="9"/>
      <c r="H62" s="9"/>
      <c r="I62" s="9"/>
      <c r="J62" s="9"/>
      <c r="K62" s="9"/>
      <c r="L62" s="9">
        <f>SUM(Monatswerte!DG63:DR63)/12</f>
        <v>18.25</v>
      </c>
      <c r="M62" s="9">
        <f>SUM(Monatswerte!DS63:ED63)/12</f>
        <v>7.416666666666667</v>
      </c>
      <c r="N62" s="9">
        <f>SUM(Monatswerte!EE63:EP63)/12</f>
        <v>15.833333333333334</v>
      </c>
      <c r="O62" s="9">
        <f>SUM(Monatswerte!EQ63:FB63)/12</f>
        <v>18.25</v>
      </c>
      <c r="P62" s="9">
        <f>SUM([1]Monatswerte!FC62:FN62)/12</f>
        <v>8.3333333333333339</v>
      </c>
      <c r="Q62" s="9">
        <f>SUM([1]Monatswerte!FO62:FZ62)/12</f>
        <v>2.75</v>
      </c>
      <c r="R62" s="9">
        <f>SUM([1]Monatswerte!GA62:GL62)/12</f>
        <v>4.25</v>
      </c>
      <c r="S62" s="9">
        <f>SUM([1]Monatswerte!GM62:GX62)/12</f>
        <v>1099.75</v>
      </c>
      <c r="T62" s="9">
        <f>SUM([1]Monatswerte!GY62:HJ62)/12</f>
        <v>365.25</v>
      </c>
      <c r="U62" s="9">
        <f>SUM([1]Monatswerte!HK62:HV62)/12</f>
        <v>53.25</v>
      </c>
      <c r="V62" s="9">
        <f>SUM([1]Monatswerte!HW62:IH62)/12</f>
        <v>13.583333333333334</v>
      </c>
      <c r="W62" s="9">
        <f>SUM([2]Monatswerte!II62:IT62)/12</f>
        <v>20.5</v>
      </c>
      <c r="X62" s="9">
        <f>SUM([3]Monatswerte!IU62:JF62)/12</f>
        <v>31.333333333333332</v>
      </c>
    </row>
    <row r="63" spans="1:24" x14ac:dyDescent="0.2">
      <c r="A63" s="1" t="s">
        <v>26</v>
      </c>
      <c r="B63" s="1">
        <v>45</v>
      </c>
      <c r="C63" s="9"/>
      <c r="D63" s="9"/>
      <c r="E63" s="9"/>
      <c r="F63" s="9"/>
      <c r="G63" s="9"/>
      <c r="H63" s="9"/>
      <c r="I63" s="9"/>
      <c r="J63" s="9"/>
      <c r="K63" s="9"/>
      <c r="L63" s="9">
        <f>SUM(Monatswerte!DG64:DR64)/12</f>
        <v>16.5</v>
      </c>
      <c r="M63" s="9">
        <f>SUM(Monatswerte!DS64:ED64)/12</f>
        <v>5.75</v>
      </c>
      <c r="N63" s="9">
        <f>SUM(Monatswerte!EE64:EP64)/12</f>
        <v>14.833333333333334</v>
      </c>
      <c r="O63" s="9">
        <f>SUM(Monatswerte!EQ64:FB64)/12</f>
        <v>17.25</v>
      </c>
      <c r="P63" s="9">
        <f>SUM([1]Monatswerte!FC63:FN63)/12</f>
        <v>7.25</v>
      </c>
      <c r="Q63" s="9">
        <f>SUM([1]Monatswerte!FO63:FZ63)/12</f>
        <v>1.75</v>
      </c>
      <c r="R63" s="9">
        <f>SUM([1]Monatswerte!GA63:GL63)/12</f>
        <v>2.8333333333333335</v>
      </c>
      <c r="S63" s="9">
        <f>SUM([1]Monatswerte!GM63:GX63)/12</f>
        <v>1066.75</v>
      </c>
      <c r="T63" s="9">
        <f>SUM([1]Monatswerte!GY63:HJ63)/12</f>
        <v>350.33333333333331</v>
      </c>
      <c r="U63" s="9">
        <f>SUM([1]Monatswerte!HK63:HV63)/12</f>
        <v>43.416666666666664</v>
      </c>
      <c r="V63" s="9">
        <f>SUM([1]Monatswerte!HW63:IH63)/12</f>
        <v>11.5</v>
      </c>
      <c r="W63" s="9">
        <f>SUM([2]Monatswerte!II63:IT63)/12</f>
        <v>18.25</v>
      </c>
      <c r="X63" s="9">
        <f>SUM([3]Monatswerte!IU63:JF63)/12</f>
        <v>28.333333333333332</v>
      </c>
    </row>
    <row r="64" spans="1:24" x14ac:dyDescent="0.2">
      <c r="A64" s="1" t="s">
        <v>71</v>
      </c>
      <c r="B64" s="1">
        <v>46</v>
      </c>
      <c r="C64" s="9"/>
      <c r="D64" s="9"/>
      <c r="E64" s="9"/>
      <c r="F64" s="9"/>
      <c r="G64" s="9"/>
      <c r="H64" s="9"/>
      <c r="I64" s="9"/>
      <c r="J64" s="9"/>
      <c r="K64" s="9"/>
      <c r="L64" s="9">
        <f>SUM(Monatswerte!DG65:DR65)/12</f>
        <v>368.16666666666669</v>
      </c>
      <c r="M64" s="9">
        <f>SUM(Monatswerte!DS65:ED65)/12</f>
        <v>148.16666666666666</v>
      </c>
      <c r="N64" s="9">
        <f>SUM(Monatswerte!EE65:EP65)/12</f>
        <v>280.83333333333331</v>
      </c>
      <c r="O64" s="9">
        <f>SUM(Monatswerte!EQ65:FB65)/12</f>
        <v>274.66666666666669</v>
      </c>
      <c r="P64" s="9">
        <f>SUM([1]Monatswerte!FC64:FN64)/12</f>
        <v>97.333333333333329</v>
      </c>
      <c r="Q64" s="9">
        <f>SUM([1]Monatswerte!FO64:FZ64)/12</f>
        <v>44.666666666666664</v>
      </c>
      <c r="R64" s="9">
        <f>SUM([1]Monatswerte!GA64:GL64)/12</f>
        <v>96.833333333333329</v>
      </c>
      <c r="S64" s="9">
        <f>SUM([1]Monatswerte!GM64:GX64)/12</f>
        <v>11856.916666666666</v>
      </c>
      <c r="T64" s="9">
        <f>SUM([1]Monatswerte!GY64:HJ64)/12</f>
        <v>3880.3333333333335</v>
      </c>
      <c r="U64" s="9">
        <f>SUM([1]Monatswerte!HK64:HV64)/12</f>
        <v>644</v>
      </c>
      <c r="V64" s="9">
        <f>SUM([1]Monatswerte!HW64:IH64)/12</f>
        <v>361.58333333333331</v>
      </c>
      <c r="W64" s="9">
        <f>SUM([2]Monatswerte!II64:IT64)/12</f>
        <v>439.08333333333331</v>
      </c>
      <c r="X64" s="9">
        <f>SUM([3]Monatswerte!IU64:JF64)/12</f>
        <v>590.58333333333337</v>
      </c>
    </row>
  </sheetData>
  <pageMargins left="0.70866141732283472" right="0.70866141732283472" top="0.78740157480314965" bottom="0.78740157480314965" header="0.31496062992125984" footer="0.31496062992125984"/>
  <pageSetup paperSize="8" orientation="portrait" r:id="rId1"/>
  <ignoredErrors>
    <ignoredError sqref="C5:N6 C4:O4 C3:N3 C36:N36 C7:N8 C10:N10 C33:N34 C12:N16 C19:N23 C26:N30 C38:N42 C35:N35 H44:O44 C47:N51 C54:N55 C58:N60 L62:N64 C11:N11 O3 O5:O42 O45:O46 O47:O51 O62:O64 O54:O55 O58:O6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I84"/>
  <sheetViews>
    <sheetView topLeftCell="A17" zoomScale="90" zoomScaleNormal="90" workbookViewId="0">
      <pane xSplit="1" topLeftCell="B1" activePane="topRight" state="frozen"/>
      <selection activeCell="A25" sqref="A25"/>
      <selection pane="topRight" activeCell="A44" sqref="A44"/>
    </sheetView>
  </sheetViews>
  <sheetFormatPr baseColWidth="10" defaultColWidth="11.42578125" defaultRowHeight="12.75" x14ac:dyDescent="0.2"/>
  <cols>
    <col min="1" max="1" width="45.7109375" style="1" customWidth="1"/>
    <col min="2" max="2" width="4.28515625" style="1" customWidth="1"/>
    <col min="3" max="13" width="7.7109375" style="1" customWidth="1"/>
    <col min="14" max="14" width="7.7109375" style="6" customWidth="1"/>
    <col min="15" max="25" width="7.7109375" style="1" customWidth="1"/>
    <col min="26" max="26" width="7.7109375" style="6" customWidth="1"/>
    <col min="27" max="37" width="7.7109375" style="1" customWidth="1"/>
    <col min="38" max="38" width="7.7109375" style="6" customWidth="1"/>
    <col min="39" max="49" width="7.7109375" style="1" customWidth="1"/>
    <col min="50" max="50" width="7.7109375" style="6" customWidth="1"/>
    <col min="51" max="61" width="7.7109375" style="1" customWidth="1"/>
    <col min="62" max="62" width="7.7109375" style="6" customWidth="1"/>
    <col min="63" max="73" width="7.7109375" style="1" customWidth="1"/>
    <col min="74" max="74" width="7.7109375" style="6" customWidth="1"/>
    <col min="75" max="85" width="7.7109375" style="1" customWidth="1"/>
    <col min="86" max="86" width="7.7109375" style="6" customWidth="1"/>
    <col min="87" max="97" width="7.7109375" style="1" customWidth="1"/>
    <col min="98" max="98" width="7.7109375" style="6" customWidth="1"/>
    <col min="99" max="109" width="7.7109375" style="1" customWidth="1"/>
    <col min="110" max="110" width="7.7109375" style="6" customWidth="1"/>
    <col min="111" max="121" width="7.7109375" style="1" customWidth="1"/>
    <col min="122" max="122" width="7.7109375" style="6" customWidth="1"/>
    <col min="123" max="133" width="7.7109375" style="1" customWidth="1"/>
    <col min="134" max="134" width="7.7109375" style="6" customWidth="1"/>
    <col min="135" max="145" width="7.7109375" style="1" customWidth="1"/>
    <col min="146" max="146" width="7.7109375" style="6" customWidth="1"/>
    <col min="147" max="153" width="7.7109375" style="1" customWidth="1"/>
    <col min="154" max="154" width="8.140625" style="1" bestFit="1" customWidth="1"/>
    <col min="155" max="155" width="7.85546875" style="1" bestFit="1" customWidth="1"/>
    <col min="156" max="156" width="7.7109375" style="1" bestFit="1" customWidth="1"/>
    <col min="157" max="157" width="8.140625" style="1" bestFit="1" customWidth="1"/>
    <col min="158" max="158" width="7.85546875" style="6" bestFit="1" customWidth="1"/>
    <col min="159" max="159" width="7.5703125" style="1" bestFit="1" customWidth="1"/>
    <col min="160" max="160" width="8.42578125" style="1" bestFit="1" customWidth="1"/>
    <col min="161" max="162" width="7.7109375" style="1" bestFit="1" customWidth="1"/>
    <col min="163" max="167" width="8.42578125" style="1" bestFit="1" customWidth="1"/>
    <col min="168" max="168" width="7.28515625" style="1" bestFit="1" customWidth="1"/>
    <col min="169" max="169" width="7.7109375" style="1" bestFit="1" customWidth="1"/>
    <col min="170" max="170" width="7.42578125" style="1" bestFit="1" customWidth="1"/>
    <col min="171" max="171" width="7" style="1" bestFit="1" customWidth="1"/>
    <col min="172" max="172" width="7.28515625" style="1" bestFit="1" customWidth="1"/>
    <col min="173" max="173" width="7.5703125" style="1" bestFit="1" customWidth="1"/>
    <col min="174" max="174" width="7.28515625" style="1" bestFit="1" customWidth="1"/>
    <col min="175" max="175" width="7.42578125" style="1" bestFit="1" customWidth="1"/>
    <col min="176" max="176" width="7.140625" style="1" bestFit="1" customWidth="1"/>
    <col min="177" max="177" width="6.42578125" style="1" bestFit="1" customWidth="1"/>
    <col min="178" max="178" width="7.7109375" style="1" bestFit="1" customWidth="1"/>
    <col min="179" max="179" width="7.42578125" style="1" bestFit="1" customWidth="1"/>
    <col min="180" max="180" width="7.28515625" style="1" bestFit="1" customWidth="1"/>
    <col min="181" max="181" width="7.7109375" style="1" bestFit="1" customWidth="1"/>
    <col min="182" max="182" width="7.42578125" style="1" bestFit="1" customWidth="1"/>
    <col min="183" max="183" width="7" style="1" bestFit="1" customWidth="1"/>
    <col min="184" max="184" width="7.28515625" style="1" bestFit="1" customWidth="1"/>
    <col min="185" max="185" width="7.7109375" style="1" bestFit="1" customWidth="1"/>
    <col min="186" max="186" width="7.28515625" style="1" bestFit="1" customWidth="1"/>
    <col min="187" max="187" width="7.42578125" style="1" bestFit="1" customWidth="1"/>
    <col min="188" max="188" width="7.140625" style="1" bestFit="1" customWidth="1"/>
    <col min="189" max="189" width="6.42578125" style="1" bestFit="1" customWidth="1"/>
    <col min="190" max="190" width="7.7109375" style="1" bestFit="1" customWidth="1"/>
    <col min="191" max="191" width="7.42578125" style="1" bestFit="1" customWidth="1"/>
    <col min="192" max="192" width="7.28515625" style="1" bestFit="1" customWidth="1"/>
    <col min="193" max="193" width="7.7109375" style="1" bestFit="1" customWidth="1"/>
    <col min="194" max="194" width="7.42578125" style="1" bestFit="1" customWidth="1"/>
    <col min="195" max="195" width="7" style="1" bestFit="1" customWidth="1"/>
    <col min="196" max="196" width="7.42578125" style="1" bestFit="1" customWidth="1"/>
    <col min="197" max="197" width="8.28515625" style="1" bestFit="1" customWidth="1"/>
    <col min="198" max="199" width="9.85546875" style="1" bestFit="1" customWidth="1"/>
    <col min="200" max="213" width="8.28515625" style="1" bestFit="1" customWidth="1"/>
    <col min="214" max="214" width="7.85546875" style="1" bestFit="1" customWidth="1"/>
    <col min="215" max="216" width="7.5703125" style="1" bestFit="1" customWidth="1"/>
    <col min="217" max="217" width="9.28515625" style="1" bestFit="1" customWidth="1"/>
    <col min="218" max="220" width="8.28515625" style="1" bestFit="1" customWidth="1"/>
    <col min="221" max="221" width="7.7109375" style="1" bestFit="1" customWidth="1"/>
    <col min="222" max="222" width="7.42578125" style="1" bestFit="1" customWidth="1"/>
    <col min="223" max="225" width="9.28515625" style="1" bestFit="1" customWidth="1"/>
    <col min="226" max="229" width="8.28515625" style="1" bestFit="1" customWidth="1"/>
    <col min="230" max="230" width="7.42578125" style="1" bestFit="1" customWidth="1"/>
    <col min="231" max="234" width="9.5703125" style="1" bestFit="1" customWidth="1"/>
    <col min="235" max="235" width="8.7109375" style="1" bestFit="1" customWidth="1"/>
    <col min="236" max="236" width="8.5703125" style="1" bestFit="1" customWidth="1"/>
    <col min="237" max="237" width="7.85546875" style="1" bestFit="1" customWidth="1"/>
    <col min="238" max="238" width="8.85546875" style="1" bestFit="1" customWidth="1"/>
    <col min="239" max="239" width="8.7109375" style="1" bestFit="1" customWidth="1"/>
    <col min="240" max="240" width="8.5703125" style="1" bestFit="1" customWidth="1"/>
    <col min="241" max="241" width="9.140625" style="1" bestFit="1" customWidth="1"/>
    <col min="242" max="242" width="8.7109375" style="1" bestFit="1" customWidth="1"/>
    <col min="243" max="243" width="7.140625" style="1" bestFit="1" customWidth="1"/>
    <col min="244" max="244" width="7.42578125" style="1" bestFit="1" customWidth="1"/>
    <col min="245" max="245" width="7.7109375" style="1" bestFit="1" customWidth="1"/>
    <col min="246" max="247" width="7.42578125" style="1" bestFit="1" customWidth="1"/>
    <col min="248" max="248" width="7.28515625" style="1" bestFit="1" customWidth="1"/>
    <col min="249" max="249" width="7.140625" style="1" bestFit="1" customWidth="1"/>
    <col min="250" max="250" width="7.85546875" style="1" bestFit="1" customWidth="1"/>
    <col min="251" max="252" width="7.5703125" style="1" bestFit="1" customWidth="1"/>
    <col min="253" max="253" width="7.7109375" style="1" bestFit="1" customWidth="1"/>
    <col min="254" max="254" width="7.42578125" style="1" bestFit="1" customWidth="1"/>
    <col min="255" max="255" width="7.140625" style="1" bestFit="1" customWidth="1"/>
    <col min="256" max="256" width="7.42578125" style="1" bestFit="1" customWidth="1"/>
    <col min="257" max="257" width="7.7109375" style="1" bestFit="1" customWidth="1"/>
    <col min="258" max="259" width="7.42578125" style="1" bestFit="1" customWidth="1"/>
    <col min="260" max="260" width="7.28515625" style="1" bestFit="1" customWidth="1"/>
    <col min="261" max="261" width="7.140625" style="1" bestFit="1" customWidth="1"/>
    <col min="262" max="262" width="7.85546875" style="1" bestFit="1" customWidth="1"/>
    <col min="263" max="264" width="7.5703125" style="1" bestFit="1" customWidth="1"/>
    <col min="265" max="265" width="7.7109375" style="1" bestFit="1" customWidth="1"/>
    <col min="266" max="266" width="7.42578125" style="1" bestFit="1" customWidth="1"/>
    <col min="267" max="267" width="7.140625" style="1" bestFit="1" customWidth="1"/>
    <col min="268" max="268" width="7.42578125" style="1" bestFit="1" customWidth="1"/>
    <col min="269" max="269" width="7.7109375" style="1" bestFit="1" customWidth="1"/>
    <col min="270" max="16384" width="11.42578125" style="1"/>
  </cols>
  <sheetData>
    <row r="1" spans="1:269" ht="14.25" x14ac:dyDescent="0.25">
      <c r="A1" s="7" t="s">
        <v>0</v>
      </c>
      <c r="B1" s="7" t="s">
        <v>46</v>
      </c>
      <c r="C1" s="7">
        <v>37987</v>
      </c>
      <c r="D1" s="7">
        <v>38018</v>
      </c>
      <c r="E1" s="7">
        <v>38047</v>
      </c>
      <c r="F1" s="7">
        <v>38078</v>
      </c>
      <c r="G1" s="7">
        <v>38108</v>
      </c>
      <c r="H1" s="7">
        <v>38139</v>
      </c>
      <c r="I1" s="7">
        <v>38169</v>
      </c>
      <c r="J1" s="7">
        <v>38200</v>
      </c>
      <c r="K1" s="7">
        <v>38231</v>
      </c>
      <c r="L1" s="7">
        <v>38261</v>
      </c>
      <c r="M1" s="7">
        <v>38292</v>
      </c>
      <c r="N1" s="12">
        <v>38322</v>
      </c>
      <c r="O1" s="7">
        <v>38353</v>
      </c>
      <c r="P1" s="7">
        <v>38384</v>
      </c>
      <c r="Q1" s="7">
        <v>38412</v>
      </c>
      <c r="R1" s="7">
        <v>38443</v>
      </c>
      <c r="S1" s="7">
        <v>38473</v>
      </c>
      <c r="T1" s="7">
        <v>38504</v>
      </c>
      <c r="U1" s="7">
        <v>38534</v>
      </c>
      <c r="V1" s="7">
        <v>38565</v>
      </c>
      <c r="W1" s="7">
        <v>38596</v>
      </c>
      <c r="X1" s="7">
        <v>38626</v>
      </c>
      <c r="Y1" s="7">
        <v>38657</v>
      </c>
      <c r="Z1" s="12">
        <v>38687</v>
      </c>
      <c r="AA1" s="7">
        <v>38718</v>
      </c>
      <c r="AB1" s="7">
        <v>38749</v>
      </c>
      <c r="AC1" s="7">
        <v>38777</v>
      </c>
      <c r="AD1" s="7">
        <v>38808</v>
      </c>
      <c r="AE1" s="7">
        <v>38838</v>
      </c>
      <c r="AF1" s="7">
        <v>38869</v>
      </c>
      <c r="AG1" s="7">
        <v>38899</v>
      </c>
      <c r="AH1" s="7">
        <v>38930</v>
      </c>
      <c r="AI1" s="7">
        <v>38961</v>
      </c>
      <c r="AJ1" s="7">
        <v>38991</v>
      </c>
      <c r="AK1" s="7">
        <v>39022</v>
      </c>
      <c r="AL1" s="12">
        <v>39052</v>
      </c>
      <c r="AM1" s="7">
        <v>39083</v>
      </c>
      <c r="AN1" s="7">
        <v>39114</v>
      </c>
      <c r="AO1" s="7">
        <v>39142</v>
      </c>
      <c r="AP1" s="7">
        <v>39173</v>
      </c>
      <c r="AQ1" s="7">
        <v>39203</v>
      </c>
      <c r="AR1" s="7">
        <v>39234</v>
      </c>
      <c r="AS1" s="7">
        <v>39264</v>
      </c>
      <c r="AT1" s="7">
        <v>39295</v>
      </c>
      <c r="AU1" s="7">
        <v>39326</v>
      </c>
      <c r="AV1" s="7">
        <v>39356</v>
      </c>
      <c r="AW1" s="7">
        <v>39387</v>
      </c>
      <c r="AX1" s="12">
        <v>39417</v>
      </c>
      <c r="AY1" s="7">
        <v>39448</v>
      </c>
      <c r="AZ1" s="7">
        <v>39479</v>
      </c>
      <c r="BA1" s="7">
        <v>39508</v>
      </c>
      <c r="BB1" s="7">
        <v>39539</v>
      </c>
      <c r="BC1" s="7">
        <v>39569</v>
      </c>
      <c r="BD1" s="7">
        <v>39600</v>
      </c>
      <c r="BE1" s="7">
        <v>39630</v>
      </c>
      <c r="BF1" s="7">
        <v>39661</v>
      </c>
      <c r="BG1" s="7">
        <v>39692</v>
      </c>
      <c r="BH1" s="7">
        <v>39722</v>
      </c>
      <c r="BI1" s="7">
        <v>39753</v>
      </c>
      <c r="BJ1" s="12">
        <v>39783</v>
      </c>
      <c r="BK1" s="7">
        <v>39814</v>
      </c>
      <c r="BL1" s="7">
        <v>39845</v>
      </c>
      <c r="BM1" s="7">
        <v>39873</v>
      </c>
      <c r="BN1" s="7">
        <v>39904</v>
      </c>
      <c r="BO1" s="7">
        <v>39934</v>
      </c>
      <c r="BP1" s="7">
        <v>39965</v>
      </c>
      <c r="BQ1" s="7">
        <v>39995</v>
      </c>
      <c r="BR1" s="7">
        <v>40026</v>
      </c>
      <c r="BS1" s="7">
        <v>40057</v>
      </c>
      <c r="BT1" s="7">
        <v>40087</v>
      </c>
      <c r="BU1" s="7">
        <v>40118</v>
      </c>
      <c r="BV1" s="12">
        <v>40148</v>
      </c>
      <c r="BW1" s="7">
        <v>40179</v>
      </c>
      <c r="BX1" s="7">
        <v>40210</v>
      </c>
      <c r="BY1" s="7">
        <v>40238</v>
      </c>
      <c r="BZ1" s="7">
        <v>40269</v>
      </c>
      <c r="CA1" s="7">
        <v>40299</v>
      </c>
      <c r="CB1" s="7">
        <v>40330</v>
      </c>
      <c r="CC1" s="7">
        <v>40360</v>
      </c>
      <c r="CD1" s="7">
        <v>40391</v>
      </c>
      <c r="CE1" s="7">
        <v>40422</v>
      </c>
      <c r="CF1" s="7">
        <v>40452</v>
      </c>
      <c r="CG1" s="7">
        <v>40483</v>
      </c>
      <c r="CH1" s="12">
        <v>40513</v>
      </c>
      <c r="CI1" s="7">
        <v>40544</v>
      </c>
      <c r="CJ1" s="7">
        <v>40575</v>
      </c>
      <c r="CK1" s="7">
        <v>40603</v>
      </c>
      <c r="CL1" s="7">
        <v>40634</v>
      </c>
      <c r="CM1" s="7">
        <v>40664</v>
      </c>
      <c r="CN1" s="7">
        <v>40695</v>
      </c>
      <c r="CO1" s="7">
        <v>40725</v>
      </c>
      <c r="CP1" s="7">
        <v>40756</v>
      </c>
      <c r="CQ1" s="7">
        <v>40787</v>
      </c>
      <c r="CR1" s="7">
        <v>40817</v>
      </c>
      <c r="CS1" s="7">
        <v>40848</v>
      </c>
      <c r="CT1" s="12">
        <v>40878</v>
      </c>
      <c r="CU1" s="7">
        <v>40909</v>
      </c>
      <c r="CV1" s="7">
        <v>40940</v>
      </c>
      <c r="CW1" s="7">
        <v>40969</v>
      </c>
      <c r="CX1" s="7">
        <v>41000</v>
      </c>
      <c r="CY1" s="7">
        <v>41030</v>
      </c>
      <c r="CZ1" s="7">
        <v>41061</v>
      </c>
      <c r="DA1" s="7">
        <v>41091</v>
      </c>
      <c r="DB1" s="7">
        <v>41122</v>
      </c>
      <c r="DC1" s="7">
        <v>41153</v>
      </c>
      <c r="DD1" s="7">
        <v>41183</v>
      </c>
      <c r="DE1" s="7">
        <v>41214</v>
      </c>
      <c r="DF1" s="12">
        <v>41244</v>
      </c>
      <c r="DG1" s="7">
        <v>41275</v>
      </c>
      <c r="DH1" s="7">
        <v>41306</v>
      </c>
      <c r="DI1" s="7">
        <v>41334</v>
      </c>
      <c r="DJ1" s="7">
        <v>41365</v>
      </c>
      <c r="DK1" s="7">
        <v>41395</v>
      </c>
      <c r="DL1" s="7">
        <v>41426</v>
      </c>
      <c r="DM1" s="7">
        <v>41456</v>
      </c>
      <c r="DN1" s="7">
        <v>41487</v>
      </c>
      <c r="DO1" s="7">
        <v>41518</v>
      </c>
      <c r="DP1" s="7">
        <v>41548</v>
      </c>
      <c r="DQ1" s="7">
        <v>41579</v>
      </c>
      <c r="DR1" s="12">
        <v>41609</v>
      </c>
      <c r="DS1" s="7">
        <v>41640</v>
      </c>
      <c r="DT1" s="7">
        <v>41671</v>
      </c>
      <c r="DU1" s="7">
        <v>41699</v>
      </c>
      <c r="DV1" s="7">
        <v>41730</v>
      </c>
      <c r="DW1" s="7">
        <v>41760</v>
      </c>
      <c r="DX1" s="7">
        <v>41791</v>
      </c>
      <c r="DY1" s="7">
        <v>41821</v>
      </c>
      <c r="DZ1" s="7">
        <v>41852</v>
      </c>
      <c r="EA1" s="7">
        <v>41883</v>
      </c>
      <c r="EB1" s="7">
        <v>41913</v>
      </c>
      <c r="EC1" s="7">
        <v>41944</v>
      </c>
      <c r="ED1" s="12">
        <v>41974</v>
      </c>
      <c r="EE1" s="7">
        <v>42005</v>
      </c>
      <c r="EF1" s="7">
        <v>42036</v>
      </c>
      <c r="EG1" s="7">
        <v>42064</v>
      </c>
      <c r="EH1" s="7">
        <v>42095</v>
      </c>
      <c r="EI1" s="7">
        <v>42125</v>
      </c>
      <c r="EJ1" s="7">
        <v>42156</v>
      </c>
      <c r="EK1" s="7">
        <v>42186</v>
      </c>
      <c r="EL1" s="7">
        <v>42217</v>
      </c>
      <c r="EM1" s="7">
        <v>42248</v>
      </c>
      <c r="EN1" s="7">
        <v>42278</v>
      </c>
      <c r="EO1" s="7">
        <v>42309</v>
      </c>
      <c r="EP1" s="12">
        <v>42339</v>
      </c>
      <c r="EQ1" s="7">
        <v>42370</v>
      </c>
      <c r="ER1" s="7">
        <v>42401</v>
      </c>
      <c r="ES1" s="7">
        <v>42430</v>
      </c>
      <c r="ET1" s="7">
        <v>42461</v>
      </c>
      <c r="EU1" s="7">
        <v>42491</v>
      </c>
      <c r="EV1" s="7">
        <v>42522</v>
      </c>
      <c r="EW1" s="7">
        <v>42552</v>
      </c>
      <c r="EX1" s="7">
        <v>42583</v>
      </c>
      <c r="EY1" s="7">
        <v>42614</v>
      </c>
      <c r="EZ1" s="7">
        <v>42644</v>
      </c>
      <c r="FA1" s="7">
        <v>42675</v>
      </c>
      <c r="FB1" s="12">
        <v>42705</v>
      </c>
      <c r="FC1" s="7">
        <v>42736</v>
      </c>
      <c r="FD1" s="7">
        <v>42767</v>
      </c>
      <c r="FE1" s="7">
        <v>42795</v>
      </c>
      <c r="FF1" s="7">
        <v>42826</v>
      </c>
      <c r="FG1" s="7">
        <v>42856</v>
      </c>
      <c r="FH1" s="7">
        <v>42887</v>
      </c>
      <c r="FI1" s="7">
        <v>42917</v>
      </c>
      <c r="FJ1" s="7">
        <v>42948</v>
      </c>
      <c r="FK1" s="7">
        <v>42979</v>
      </c>
      <c r="FL1" s="7">
        <v>43009</v>
      </c>
      <c r="FM1" s="7">
        <v>43040</v>
      </c>
      <c r="FN1" s="12">
        <v>43070</v>
      </c>
      <c r="FO1" s="7">
        <v>43101</v>
      </c>
      <c r="FP1" s="7">
        <v>43132</v>
      </c>
      <c r="FQ1" s="7">
        <v>43160</v>
      </c>
      <c r="FR1" s="7">
        <v>43191</v>
      </c>
      <c r="FS1" s="7">
        <v>43221</v>
      </c>
      <c r="FT1" s="7">
        <v>43252</v>
      </c>
      <c r="FU1" s="7">
        <v>43282</v>
      </c>
      <c r="FV1" s="7">
        <v>43313</v>
      </c>
      <c r="FW1" s="7">
        <v>43344</v>
      </c>
      <c r="FX1" s="7">
        <v>43374</v>
      </c>
      <c r="FY1" s="7">
        <v>43405</v>
      </c>
      <c r="FZ1" s="7">
        <v>43435</v>
      </c>
      <c r="GA1" s="23">
        <v>43466</v>
      </c>
      <c r="GB1" s="7">
        <v>43497</v>
      </c>
      <c r="GC1" s="7">
        <v>43525</v>
      </c>
      <c r="GD1" s="7">
        <v>43556</v>
      </c>
      <c r="GE1" s="7">
        <v>43586</v>
      </c>
      <c r="GF1" s="7">
        <v>43617</v>
      </c>
      <c r="GG1" s="7">
        <v>43647</v>
      </c>
      <c r="GH1" s="7">
        <v>43678</v>
      </c>
      <c r="GI1" s="7">
        <v>43709</v>
      </c>
      <c r="GJ1" s="7">
        <v>43739</v>
      </c>
      <c r="GK1" s="7">
        <v>43770</v>
      </c>
      <c r="GL1" s="7">
        <v>43800</v>
      </c>
      <c r="GM1" s="23">
        <v>43831</v>
      </c>
      <c r="GN1" s="7">
        <v>43862</v>
      </c>
      <c r="GO1" s="23">
        <v>43891</v>
      </c>
      <c r="GP1" s="23">
        <v>43922</v>
      </c>
      <c r="GQ1" s="23">
        <v>43952</v>
      </c>
      <c r="GR1" s="23">
        <v>43983</v>
      </c>
      <c r="GS1" s="23">
        <v>44013</v>
      </c>
      <c r="GT1" s="23">
        <v>44044</v>
      </c>
      <c r="GU1" s="23">
        <v>44075</v>
      </c>
      <c r="GV1" s="23">
        <v>44105</v>
      </c>
      <c r="GW1" s="23">
        <v>44136</v>
      </c>
      <c r="GX1" s="56">
        <v>44166</v>
      </c>
      <c r="GY1" s="7">
        <v>44197</v>
      </c>
      <c r="GZ1" s="23">
        <v>44228</v>
      </c>
      <c r="HA1" s="23">
        <v>44256</v>
      </c>
      <c r="HB1" s="23">
        <v>44287</v>
      </c>
      <c r="HC1" s="23">
        <v>44317</v>
      </c>
      <c r="HD1" s="23">
        <v>44348</v>
      </c>
      <c r="HE1" s="23">
        <v>44378</v>
      </c>
      <c r="HF1" s="23">
        <v>44409</v>
      </c>
      <c r="HG1" s="23">
        <v>44440</v>
      </c>
      <c r="HH1" s="23">
        <v>44470</v>
      </c>
      <c r="HI1" s="23">
        <v>44501</v>
      </c>
      <c r="HJ1" s="23">
        <v>44531</v>
      </c>
      <c r="HK1" s="23">
        <v>44562</v>
      </c>
      <c r="HL1" s="23">
        <v>44593</v>
      </c>
      <c r="HM1" s="23">
        <v>44621</v>
      </c>
      <c r="HN1" s="23">
        <v>44652</v>
      </c>
      <c r="HO1" s="23">
        <v>44682</v>
      </c>
      <c r="HP1" s="23">
        <v>44713</v>
      </c>
      <c r="HQ1" s="23">
        <v>44743</v>
      </c>
      <c r="HR1" s="23">
        <v>44774</v>
      </c>
      <c r="HS1" s="23">
        <v>44805</v>
      </c>
      <c r="HT1" s="23">
        <v>44835</v>
      </c>
      <c r="HU1" s="23">
        <v>44866</v>
      </c>
      <c r="HV1" s="23">
        <v>44896</v>
      </c>
      <c r="HW1" s="23">
        <v>44927</v>
      </c>
      <c r="HX1" s="23">
        <v>44958</v>
      </c>
      <c r="HY1" s="23">
        <v>44986</v>
      </c>
      <c r="HZ1" s="23">
        <v>45017</v>
      </c>
      <c r="IA1" s="23">
        <v>45047</v>
      </c>
      <c r="IB1" s="23">
        <v>45078</v>
      </c>
      <c r="IC1" s="23">
        <v>45108</v>
      </c>
      <c r="ID1" s="23">
        <v>45139</v>
      </c>
      <c r="IE1" s="23">
        <v>45170</v>
      </c>
      <c r="IF1" s="23">
        <v>45200</v>
      </c>
      <c r="IG1" s="23">
        <v>45231</v>
      </c>
      <c r="IH1" s="23">
        <v>45261</v>
      </c>
      <c r="II1" s="23">
        <v>45292</v>
      </c>
      <c r="IJ1" s="23">
        <v>45323</v>
      </c>
      <c r="IK1" s="23">
        <v>45352</v>
      </c>
      <c r="IL1" s="23">
        <v>45383</v>
      </c>
      <c r="IM1" s="23">
        <v>45413</v>
      </c>
      <c r="IN1" s="23">
        <v>45444</v>
      </c>
      <c r="IO1" s="23">
        <v>45474</v>
      </c>
      <c r="IP1" s="23">
        <v>45505</v>
      </c>
      <c r="IQ1" s="23">
        <v>45536</v>
      </c>
      <c r="IR1" s="23">
        <v>45566</v>
      </c>
      <c r="IS1" s="23">
        <v>45597</v>
      </c>
      <c r="IT1" s="56">
        <v>45627</v>
      </c>
      <c r="IU1" s="7">
        <v>45658</v>
      </c>
      <c r="IV1" s="23">
        <v>45689</v>
      </c>
      <c r="IW1" s="23">
        <v>45717</v>
      </c>
      <c r="IX1" s="23">
        <v>45748</v>
      </c>
      <c r="IY1" s="23">
        <v>45778</v>
      </c>
      <c r="IZ1" s="23">
        <v>45809</v>
      </c>
      <c r="JA1" s="23">
        <v>45839</v>
      </c>
      <c r="JB1" s="23">
        <v>45870</v>
      </c>
      <c r="JC1" s="23">
        <v>45901</v>
      </c>
      <c r="JD1" s="23">
        <v>45931</v>
      </c>
      <c r="JE1" s="23">
        <v>45962</v>
      </c>
      <c r="JF1" s="23">
        <v>45992</v>
      </c>
      <c r="JG1" s="23">
        <v>46023</v>
      </c>
      <c r="JH1" s="23">
        <v>46054</v>
      </c>
      <c r="JI1" s="23">
        <v>46082</v>
      </c>
    </row>
    <row r="2" spans="1:269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3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3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3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13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13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13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13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13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13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13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13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13"/>
      <c r="FC2" s="9"/>
      <c r="FN2" s="6"/>
      <c r="GA2" s="48"/>
      <c r="GM2" s="48"/>
      <c r="GX2" s="6"/>
      <c r="HK2" s="48"/>
      <c r="HW2" s="48"/>
      <c r="II2" s="48"/>
      <c r="IT2" s="6"/>
      <c r="JG2" s="48"/>
    </row>
    <row r="3" spans="1:269" ht="13.5" x14ac:dyDescent="0.25">
      <c r="A3" s="1" t="s">
        <v>28</v>
      </c>
      <c r="B3" s="1">
        <v>1</v>
      </c>
      <c r="C3" s="9">
        <v>7667</v>
      </c>
      <c r="D3" s="9">
        <v>7675</v>
      </c>
      <c r="E3" s="9">
        <v>7517</v>
      </c>
      <c r="F3" s="9">
        <v>7369</v>
      </c>
      <c r="G3" s="9">
        <v>7140</v>
      </c>
      <c r="H3" s="9">
        <v>7010</v>
      </c>
      <c r="I3" s="9">
        <v>7029</v>
      </c>
      <c r="J3" s="9">
        <v>7213</v>
      </c>
      <c r="K3" s="9">
        <v>7113</v>
      </c>
      <c r="L3" s="9">
        <v>6911</v>
      </c>
      <c r="M3" s="9">
        <v>7101</v>
      </c>
      <c r="N3" s="13">
        <v>7283</v>
      </c>
      <c r="O3" s="9">
        <v>7317</v>
      </c>
      <c r="P3" s="9">
        <v>7398</v>
      </c>
      <c r="Q3" s="9">
        <v>7235</v>
      </c>
      <c r="R3" s="9">
        <v>7063</v>
      </c>
      <c r="S3" s="9">
        <v>7042</v>
      </c>
      <c r="T3" s="9">
        <v>6957</v>
      </c>
      <c r="U3" s="9">
        <v>6951</v>
      </c>
      <c r="V3" s="9">
        <v>6998</v>
      </c>
      <c r="W3" s="9">
        <v>6949</v>
      </c>
      <c r="X3" s="9">
        <v>6954</v>
      </c>
      <c r="Y3" s="9">
        <v>7012</v>
      </c>
      <c r="Z3" s="13">
        <v>7040</v>
      </c>
      <c r="AA3" s="9">
        <v>7075</v>
      </c>
      <c r="AB3" s="9">
        <v>6953</v>
      </c>
      <c r="AC3" s="9">
        <v>6882</v>
      </c>
      <c r="AD3" s="9">
        <v>6657</v>
      </c>
      <c r="AE3" s="9">
        <v>6396</v>
      </c>
      <c r="AF3" s="9">
        <v>6243</v>
      </c>
      <c r="AG3" s="9">
        <v>6191</v>
      </c>
      <c r="AH3" s="9">
        <v>6138</v>
      </c>
      <c r="AI3" s="9">
        <v>6041</v>
      </c>
      <c r="AJ3" s="9">
        <v>5901</v>
      </c>
      <c r="AK3" s="9">
        <v>5844</v>
      </c>
      <c r="AL3" s="13">
        <v>5937</v>
      </c>
      <c r="AM3" s="9">
        <v>5940</v>
      </c>
      <c r="AN3" s="9">
        <v>5906</v>
      </c>
      <c r="AO3" s="9">
        <v>5751</v>
      </c>
      <c r="AP3" s="9">
        <v>5565</v>
      </c>
      <c r="AQ3" s="9">
        <v>5450</v>
      </c>
      <c r="AR3" s="9">
        <v>5320</v>
      </c>
      <c r="AS3" s="9">
        <v>5325</v>
      </c>
      <c r="AT3" s="9">
        <v>5309</v>
      </c>
      <c r="AU3" s="9">
        <v>5138</v>
      </c>
      <c r="AV3" s="9">
        <v>5058</v>
      </c>
      <c r="AW3" s="9">
        <v>5131</v>
      </c>
      <c r="AX3" s="13">
        <v>5263</v>
      </c>
      <c r="AY3" s="9">
        <v>5331</v>
      </c>
      <c r="AZ3" s="9">
        <v>5118</v>
      </c>
      <c r="BA3" s="9">
        <v>5026</v>
      </c>
      <c r="BB3" s="9">
        <v>4989</v>
      </c>
      <c r="BC3" s="9">
        <v>4728</v>
      </c>
      <c r="BD3" s="9">
        <v>4554</v>
      </c>
      <c r="BE3" s="9">
        <v>4566</v>
      </c>
      <c r="BF3" s="9">
        <v>4543</v>
      </c>
      <c r="BG3" s="9">
        <v>4617</v>
      </c>
      <c r="BH3" s="9">
        <v>4680</v>
      </c>
      <c r="BI3" s="9">
        <v>4904</v>
      </c>
      <c r="BJ3" s="13">
        <v>5355</v>
      </c>
      <c r="BK3" s="9">
        <v>5762</v>
      </c>
      <c r="BL3" s="9">
        <v>6025</v>
      </c>
      <c r="BM3" s="9">
        <v>6352</v>
      </c>
      <c r="BN3" s="9">
        <v>6548</v>
      </c>
      <c r="BO3" s="9">
        <v>6681</v>
      </c>
      <c r="BP3" s="9">
        <v>7115</v>
      </c>
      <c r="BQ3" s="9">
        <v>7338</v>
      </c>
      <c r="BR3" s="9">
        <v>7466</v>
      </c>
      <c r="BS3" s="9">
        <v>7587</v>
      </c>
      <c r="BT3" s="9">
        <v>7671</v>
      </c>
      <c r="BU3" s="9">
        <v>7848</v>
      </c>
      <c r="BV3" s="13">
        <v>8203</v>
      </c>
      <c r="BW3" s="9">
        <v>8186</v>
      </c>
      <c r="BX3" s="9">
        <v>8115</v>
      </c>
      <c r="BY3" s="9">
        <v>8054</v>
      </c>
      <c r="BZ3" s="9">
        <v>7711</v>
      </c>
      <c r="CA3" s="9">
        <v>7457</v>
      </c>
      <c r="CB3" s="9">
        <v>7222</v>
      </c>
      <c r="CC3" s="9">
        <v>7133</v>
      </c>
      <c r="CD3" s="9">
        <v>7051</v>
      </c>
      <c r="CE3" s="9">
        <v>6808</v>
      </c>
      <c r="CF3" s="9">
        <v>6708</v>
      </c>
      <c r="CG3" s="9">
        <v>6595</v>
      </c>
      <c r="CH3" s="13">
        <v>6693</v>
      </c>
      <c r="CI3" s="9">
        <v>6587</v>
      </c>
      <c r="CJ3" s="9">
        <v>6349</v>
      </c>
      <c r="CK3" s="9">
        <v>6136</v>
      </c>
      <c r="CL3" s="9">
        <v>5611</v>
      </c>
      <c r="CM3" s="9">
        <v>5251</v>
      </c>
      <c r="CN3" s="9">
        <v>5162</v>
      </c>
      <c r="CO3" s="9">
        <v>4967</v>
      </c>
      <c r="CP3" s="9">
        <v>5081</v>
      </c>
      <c r="CQ3" s="9">
        <v>5066</v>
      </c>
      <c r="CR3" s="9">
        <v>5110</v>
      </c>
      <c r="CS3" s="9">
        <v>5393</v>
      </c>
      <c r="CT3" s="13">
        <v>5638</v>
      </c>
      <c r="CU3" s="9">
        <v>5708</v>
      </c>
      <c r="CV3" s="9">
        <v>5715</v>
      </c>
      <c r="CW3" s="9">
        <v>5516</v>
      </c>
      <c r="CX3" s="9">
        <v>5445</v>
      </c>
      <c r="CY3" s="9">
        <v>5344</v>
      </c>
      <c r="CZ3" s="9">
        <v>5299</v>
      </c>
      <c r="DA3" s="9">
        <v>5352</v>
      </c>
      <c r="DB3" s="9">
        <v>5473</v>
      </c>
      <c r="DC3" s="9">
        <v>5478</v>
      </c>
      <c r="DD3" s="9">
        <v>5656</v>
      </c>
      <c r="DE3" s="9">
        <v>5998</v>
      </c>
      <c r="DF3" s="13">
        <v>6310</v>
      </c>
      <c r="DG3" s="9">
        <v>6520</v>
      </c>
      <c r="DH3" s="9">
        <v>6484</v>
      </c>
      <c r="DI3" s="9">
        <v>6295</v>
      </c>
      <c r="DJ3" s="9">
        <v>6152</v>
      </c>
      <c r="DK3" s="9">
        <v>5979</v>
      </c>
      <c r="DL3" s="9">
        <v>5869</v>
      </c>
      <c r="DM3" s="9">
        <v>5903</v>
      </c>
      <c r="DN3" s="9">
        <v>5826</v>
      </c>
      <c r="DO3" s="9">
        <v>5735</v>
      </c>
      <c r="DP3" s="9">
        <v>5897</v>
      </c>
      <c r="DQ3" s="9">
        <v>6064</v>
      </c>
      <c r="DR3" s="13">
        <v>6195</v>
      </c>
      <c r="DS3" s="9">
        <v>6154</v>
      </c>
      <c r="DT3" s="9">
        <v>6060</v>
      </c>
      <c r="DU3" s="9">
        <v>5923</v>
      </c>
      <c r="DV3" s="9">
        <v>5772</v>
      </c>
      <c r="DW3" s="9">
        <v>5602</v>
      </c>
      <c r="DX3" s="9">
        <v>5539</v>
      </c>
      <c r="DY3" s="9">
        <v>5511</v>
      </c>
      <c r="DZ3" s="9">
        <v>5340</v>
      </c>
      <c r="EA3" s="9">
        <v>5290</v>
      </c>
      <c r="EB3" s="9">
        <v>5282</v>
      </c>
      <c r="EC3" s="9">
        <v>5437</v>
      </c>
      <c r="ED3" s="13">
        <v>5723</v>
      </c>
      <c r="EE3" s="9">
        <v>5726</v>
      </c>
      <c r="EF3" s="9">
        <v>5772</v>
      </c>
      <c r="EG3" s="9">
        <v>5878</v>
      </c>
      <c r="EH3" s="9">
        <v>5897</v>
      </c>
      <c r="EI3" s="9">
        <v>5784</v>
      </c>
      <c r="EJ3" s="9">
        <v>5875</v>
      </c>
      <c r="EK3" s="9">
        <v>6049</v>
      </c>
      <c r="EL3" s="9">
        <v>6080</v>
      </c>
      <c r="EM3" s="9">
        <v>6141</v>
      </c>
      <c r="EN3" s="9">
        <v>6285</v>
      </c>
      <c r="EO3" s="9">
        <v>6675</v>
      </c>
      <c r="EP3" s="13">
        <v>6971</v>
      </c>
      <c r="EQ3" s="9">
        <v>6954</v>
      </c>
      <c r="ER3" s="9">
        <v>7002</v>
      </c>
      <c r="ES3" s="9">
        <v>6915</v>
      </c>
      <c r="ET3" s="9">
        <v>6798</v>
      </c>
      <c r="EU3" s="9">
        <v>6727</v>
      </c>
      <c r="EV3" s="9">
        <v>6672</v>
      </c>
      <c r="EW3" s="9">
        <v>6614</v>
      </c>
      <c r="EX3" s="9">
        <v>6744</v>
      </c>
      <c r="EY3" s="9">
        <v>6812</v>
      </c>
      <c r="EZ3" s="9">
        <v>6883</v>
      </c>
      <c r="FA3" s="9">
        <v>7099</v>
      </c>
      <c r="FB3" s="13">
        <v>7272</v>
      </c>
      <c r="FC3" s="9">
        <v>7309</v>
      </c>
      <c r="FD3" s="36">
        <v>7260</v>
      </c>
      <c r="FE3" s="33">
        <v>7177</v>
      </c>
      <c r="FF3" s="33">
        <v>6920</v>
      </c>
      <c r="FG3" s="36">
        <v>6806</v>
      </c>
      <c r="FH3" s="36">
        <v>6670</v>
      </c>
      <c r="FI3" s="36">
        <v>6746</v>
      </c>
      <c r="FJ3" s="36">
        <v>6657</v>
      </c>
      <c r="FK3" s="36">
        <v>6628</v>
      </c>
      <c r="FL3" s="1">
        <v>6560</v>
      </c>
      <c r="FM3" s="1">
        <v>6741</v>
      </c>
      <c r="FN3" s="45">
        <v>6847</v>
      </c>
      <c r="FO3" s="1">
        <v>6845</v>
      </c>
      <c r="FP3" s="1">
        <v>6759</v>
      </c>
      <c r="FQ3" s="1">
        <v>6664</v>
      </c>
      <c r="FR3" s="1">
        <v>6424</v>
      </c>
      <c r="FS3" s="1">
        <v>6154</v>
      </c>
      <c r="FT3" s="1">
        <v>5864</v>
      </c>
      <c r="FU3" s="1">
        <v>5880</v>
      </c>
      <c r="FV3" s="1">
        <v>5829</v>
      </c>
      <c r="FW3" s="1">
        <v>5778</v>
      </c>
      <c r="FX3" s="1">
        <v>5825</v>
      </c>
      <c r="FY3" s="1">
        <v>6012</v>
      </c>
      <c r="FZ3" s="1">
        <v>6130</v>
      </c>
      <c r="GA3" s="48">
        <v>6107</v>
      </c>
      <c r="GB3" s="1">
        <v>5984</v>
      </c>
      <c r="GC3" s="1">
        <v>5886</v>
      </c>
      <c r="GD3" s="1">
        <v>5715</v>
      </c>
      <c r="GE3" s="1">
        <v>5580</v>
      </c>
      <c r="GF3" s="1">
        <v>5475</v>
      </c>
      <c r="GG3" s="1">
        <v>5500</v>
      </c>
      <c r="GH3" s="1">
        <v>5390</v>
      </c>
      <c r="GI3" s="1">
        <v>5461</v>
      </c>
      <c r="GJ3" s="1">
        <v>5611</v>
      </c>
      <c r="GK3" s="1">
        <v>5843</v>
      </c>
      <c r="GL3" s="1">
        <v>6059</v>
      </c>
      <c r="GM3" s="48">
        <v>6093</v>
      </c>
      <c r="GN3" s="1">
        <v>5944</v>
      </c>
      <c r="GO3" s="1">
        <v>6532</v>
      </c>
      <c r="GP3" s="1">
        <v>7049</v>
      </c>
      <c r="GQ3" s="1">
        <v>7251</v>
      </c>
      <c r="GR3" s="1">
        <v>7485</v>
      </c>
      <c r="GS3" s="1">
        <v>7787</v>
      </c>
      <c r="GT3" s="1">
        <v>7823</v>
      </c>
      <c r="GU3" s="1">
        <v>7840</v>
      </c>
      <c r="GV3" s="1">
        <v>7947</v>
      </c>
      <c r="GW3" s="1">
        <v>8262</v>
      </c>
      <c r="GX3" s="6">
        <v>8559</v>
      </c>
      <c r="GY3" s="1">
        <v>8574</v>
      </c>
      <c r="GZ3" s="1">
        <v>8526</v>
      </c>
      <c r="HA3" s="1">
        <v>8444</v>
      </c>
      <c r="HB3" s="1">
        <v>8270</v>
      </c>
      <c r="HC3" s="1">
        <v>8119</v>
      </c>
      <c r="HD3" s="1">
        <v>7898</v>
      </c>
      <c r="HE3" s="1">
        <v>7682</v>
      </c>
      <c r="HF3" s="1">
        <v>7447</v>
      </c>
      <c r="HG3" s="1">
        <v>7270</v>
      </c>
      <c r="HH3" s="1">
        <v>7133</v>
      </c>
      <c r="HI3" s="1">
        <v>7293</v>
      </c>
      <c r="HJ3" s="1">
        <v>7338</v>
      </c>
      <c r="HK3" s="48">
        <v>7208</v>
      </c>
      <c r="HL3" s="1">
        <v>7119</v>
      </c>
      <c r="HM3" s="1">
        <v>6898</v>
      </c>
      <c r="HN3" s="1">
        <v>6536</v>
      </c>
      <c r="HO3" s="1">
        <v>6261</v>
      </c>
      <c r="HP3" s="1">
        <v>6015</v>
      </c>
      <c r="HQ3" s="1">
        <v>5843</v>
      </c>
      <c r="HR3" s="1">
        <v>5657</v>
      </c>
      <c r="HS3" s="1">
        <v>5422</v>
      </c>
      <c r="HT3" s="1">
        <v>5393</v>
      </c>
      <c r="HU3" s="1">
        <v>5447</v>
      </c>
      <c r="HV3" s="1">
        <v>5466</v>
      </c>
      <c r="HW3" s="48">
        <v>5442</v>
      </c>
      <c r="HX3" s="1">
        <v>5447</v>
      </c>
      <c r="HY3" s="1">
        <v>5315</v>
      </c>
      <c r="HZ3" s="1">
        <v>5110</v>
      </c>
      <c r="IA3" s="1">
        <v>5001</v>
      </c>
      <c r="IB3" s="1">
        <v>4920</v>
      </c>
      <c r="IC3" s="1">
        <v>5008</v>
      </c>
      <c r="ID3" s="1">
        <v>4998</v>
      </c>
      <c r="IE3" s="1">
        <v>4936</v>
      </c>
      <c r="IF3" s="1">
        <v>5090</v>
      </c>
      <c r="IG3" s="1">
        <v>5408</v>
      </c>
      <c r="IH3" s="1">
        <v>5531</v>
      </c>
      <c r="II3" s="48">
        <v>5691</v>
      </c>
      <c r="IJ3" s="1">
        <v>5740</v>
      </c>
      <c r="IK3" s="1">
        <v>5727</v>
      </c>
      <c r="IL3" s="1">
        <v>5764</v>
      </c>
      <c r="IM3" s="1">
        <v>5795</v>
      </c>
      <c r="IN3" s="1">
        <v>5861</v>
      </c>
      <c r="IO3" s="1">
        <v>6035</v>
      </c>
      <c r="IP3" s="1">
        <v>6009</v>
      </c>
      <c r="IQ3" s="1">
        <v>6173</v>
      </c>
      <c r="IR3" s="1">
        <v>6405</v>
      </c>
      <c r="IS3" s="1">
        <v>6738</v>
      </c>
      <c r="IT3" s="6">
        <v>7045</v>
      </c>
      <c r="IU3" s="1">
        <v>7269</v>
      </c>
      <c r="IV3" s="1">
        <v>7332</v>
      </c>
      <c r="IW3" s="1">
        <v>7382</v>
      </c>
      <c r="IX3" s="1">
        <v>7296</v>
      </c>
      <c r="IY3" s="1">
        <v>7193</v>
      </c>
      <c r="IZ3" s="1">
        <v>7363</v>
      </c>
      <c r="JA3" s="1">
        <v>7470</v>
      </c>
      <c r="JB3" s="1">
        <v>7461</v>
      </c>
      <c r="JC3" s="1">
        <v>7495</v>
      </c>
      <c r="JD3" s="1">
        <v>7720</v>
      </c>
      <c r="JE3" s="1">
        <v>7855</v>
      </c>
      <c r="JF3" s="1">
        <v>7987</v>
      </c>
      <c r="JG3" s="48">
        <v>8119</v>
      </c>
      <c r="JH3" s="1">
        <v>7991</v>
      </c>
      <c r="JI3" s="1">
        <v>7915</v>
      </c>
    </row>
    <row r="4" spans="1:269" s="4" customFormat="1" ht="14.25" x14ac:dyDescent="0.25">
      <c r="A4" s="4" t="s">
        <v>1</v>
      </c>
      <c r="B4" s="4">
        <v>2</v>
      </c>
      <c r="C4" s="10">
        <v>5327</v>
      </c>
      <c r="D4" s="10">
        <v>5242</v>
      </c>
      <c r="E4" s="10">
        <v>5037</v>
      </c>
      <c r="F4" s="10">
        <v>4785</v>
      </c>
      <c r="G4" s="10">
        <v>4560</v>
      </c>
      <c r="H4" s="10">
        <v>4413</v>
      </c>
      <c r="I4" s="10">
        <v>4462</v>
      </c>
      <c r="J4" s="10">
        <v>4648</v>
      </c>
      <c r="K4" s="10">
        <v>4506</v>
      </c>
      <c r="L4" s="10">
        <v>4333</v>
      </c>
      <c r="M4" s="10">
        <v>4511</v>
      </c>
      <c r="N4" s="14">
        <v>4803</v>
      </c>
      <c r="O4" s="10">
        <v>4848</v>
      </c>
      <c r="P4" s="10">
        <v>4877</v>
      </c>
      <c r="Q4" s="10">
        <v>4741</v>
      </c>
      <c r="R4" s="10">
        <v>4473</v>
      </c>
      <c r="S4" s="10">
        <v>4369</v>
      </c>
      <c r="T4" s="10">
        <v>4228</v>
      </c>
      <c r="U4" s="10">
        <v>4253</v>
      </c>
      <c r="V4" s="10">
        <v>4360</v>
      </c>
      <c r="W4" s="10">
        <v>4372</v>
      </c>
      <c r="X4" s="10">
        <v>4312</v>
      </c>
      <c r="Y4" s="10">
        <v>4362</v>
      </c>
      <c r="Z4" s="14">
        <v>4457</v>
      </c>
      <c r="AA4" s="10">
        <v>4597</v>
      </c>
      <c r="AB4" s="10">
        <v>4487</v>
      </c>
      <c r="AC4" s="10">
        <v>4306</v>
      </c>
      <c r="AD4" s="10">
        <v>4096</v>
      </c>
      <c r="AE4" s="10">
        <v>3837</v>
      </c>
      <c r="AF4" s="10">
        <v>3660</v>
      </c>
      <c r="AG4" s="10">
        <v>3676</v>
      </c>
      <c r="AH4" s="10">
        <v>3641</v>
      </c>
      <c r="AI4" s="10">
        <v>3606</v>
      </c>
      <c r="AJ4" s="10">
        <v>3501</v>
      </c>
      <c r="AK4" s="10">
        <v>3444</v>
      </c>
      <c r="AL4" s="14">
        <v>3634</v>
      </c>
      <c r="AM4" s="10">
        <v>3711</v>
      </c>
      <c r="AN4" s="10">
        <v>3602</v>
      </c>
      <c r="AO4" s="10">
        <v>3441</v>
      </c>
      <c r="AP4" s="10">
        <v>3233</v>
      </c>
      <c r="AQ4" s="10">
        <v>3182</v>
      </c>
      <c r="AR4" s="10">
        <v>3050</v>
      </c>
      <c r="AS4" s="10">
        <v>3116</v>
      </c>
      <c r="AT4" s="10">
        <v>3191</v>
      </c>
      <c r="AU4" s="10">
        <v>3039</v>
      </c>
      <c r="AV4" s="10">
        <v>2978</v>
      </c>
      <c r="AW4" s="10">
        <v>3104</v>
      </c>
      <c r="AX4" s="14">
        <v>3253</v>
      </c>
      <c r="AY4" s="10">
        <v>3309</v>
      </c>
      <c r="AZ4" s="10">
        <v>3120</v>
      </c>
      <c r="BA4" s="10">
        <v>3019</v>
      </c>
      <c r="BB4" s="10">
        <v>3063</v>
      </c>
      <c r="BC4" s="10">
        <v>2779</v>
      </c>
      <c r="BD4" s="10">
        <v>2630</v>
      </c>
      <c r="BE4" s="10">
        <v>2763</v>
      </c>
      <c r="BF4" s="10">
        <v>2804</v>
      </c>
      <c r="BG4" s="10">
        <v>2824</v>
      </c>
      <c r="BH4" s="10">
        <v>2888</v>
      </c>
      <c r="BI4" s="10">
        <v>3176</v>
      </c>
      <c r="BJ4" s="14">
        <v>3651</v>
      </c>
      <c r="BK4" s="10">
        <v>4040</v>
      </c>
      <c r="BL4" s="10">
        <v>4313</v>
      </c>
      <c r="BM4" s="10">
        <v>4534</v>
      </c>
      <c r="BN4" s="10">
        <v>4654</v>
      </c>
      <c r="BO4" s="10">
        <v>4767</v>
      </c>
      <c r="BP4" s="10">
        <v>5176</v>
      </c>
      <c r="BQ4" s="10">
        <v>5403</v>
      </c>
      <c r="BR4" s="10">
        <v>5488</v>
      </c>
      <c r="BS4" s="10">
        <v>5550</v>
      </c>
      <c r="BT4" s="10">
        <v>5659</v>
      </c>
      <c r="BU4" s="10">
        <v>5783</v>
      </c>
      <c r="BV4" s="14">
        <v>6123</v>
      </c>
      <c r="BW4" s="10">
        <v>6111</v>
      </c>
      <c r="BX4" s="10">
        <v>6002</v>
      </c>
      <c r="BY4" s="10">
        <v>5755</v>
      </c>
      <c r="BZ4" s="10">
        <v>5399</v>
      </c>
      <c r="CA4" s="10">
        <v>5103</v>
      </c>
      <c r="CB4" s="10">
        <v>4856</v>
      </c>
      <c r="CC4" s="10">
        <v>4752</v>
      </c>
      <c r="CD4" s="10">
        <v>4671</v>
      </c>
      <c r="CE4" s="10">
        <v>4288</v>
      </c>
      <c r="CF4" s="10">
        <v>4298</v>
      </c>
      <c r="CG4" s="10">
        <v>4178</v>
      </c>
      <c r="CH4" s="14">
        <v>4374</v>
      </c>
      <c r="CI4" s="10">
        <v>4377</v>
      </c>
      <c r="CJ4" s="10">
        <v>4146</v>
      </c>
      <c r="CK4" s="10">
        <v>3860</v>
      </c>
      <c r="CL4" s="10">
        <v>3495</v>
      </c>
      <c r="CM4" s="10">
        <v>3109</v>
      </c>
      <c r="CN4" s="10">
        <v>3070</v>
      </c>
      <c r="CO4" s="10">
        <v>3043</v>
      </c>
      <c r="CP4" s="10">
        <v>3222</v>
      </c>
      <c r="CQ4" s="10">
        <v>3104</v>
      </c>
      <c r="CR4" s="10">
        <v>3081</v>
      </c>
      <c r="CS4" s="10">
        <v>3266</v>
      </c>
      <c r="CT4" s="14">
        <v>3568</v>
      </c>
      <c r="CU4" s="10">
        <v>3631</v>
      </c>
      <c r="CV4" s="10">
        <v>3646</v>
      </c>
      <c r="CW4" s="10">
        <v>3422</v>
      </c>
      <c r="CX4" s="10">
        <v>3306</v>
      </c>
      <c r="CY4" s="10">
        <v>3231</v>
      </c>
      <c r="CZ4" s="10">
        <v>3177</v>
      </c>
      <c r="DA4" s="10">
        <v>3264</v>
      </c>
      <c r="DB4" s="10">
        <v>3446</v>
      </c>
      <c r="DC4" s="10">
        <v>3428</v>
      </c>
      <c r="DD4" s="10">
        <v>3501</v>
      </c>
      <c r="DE4" s="10">
        <v>3817</v>
      </c>
      <c r="DF4" s="14">
        <v>4203</v>
      </c>
      <c r="DG4" s="10">
        <v>4444</v>
      </c>
      <c r="DH4" s="10">
        <v>4397</v>
      </c>
      <c r="DI4" s="10">
        <v>4132</v>
      </c>
      <c r="DJ4" s="10">
        <v>3934</v>
      </c>
      <c r="DK4" s="10">
        <v>3810</v>
      </c>
      <c r="DL4" s="10">
        <v>3651</v>
      </c>
      <c r="DM4" s="10">
        <v>3673</v>
      </c>
      <c r="DN4" s="10">
        <v>3683</v>
      </c>
      <c r="DO4" s="10">
        <v>3542</v>
      </c>
      <c r="DP4" s="10">
        <v>3593</v>
      </c>
      <c r="DQ4" s="10">
        <v>3756</v>
      </c>
      <c r="DR4" s="14">
        <v>3998</v>
      </c>
      <c r="DS4" s="10">
        <v>4025</v>
      </c>
      <c r="DT4" s="10">
        <v>3985</v>
      </c>
      <c r="DU4" s="10">
        <v>3819</v>
      </c>
      <c r="DV4" s="10">
        <v>3635</v>
      </c>
      <c r="DW4" s="10">
        <v>3475</v>
      </c>
      <c r="DX4" s="10">
        <v>3375</v>
      </c>
      <c r="DY4" s="10">
        <v>3386</v>
      </c>
      <c r="DZ4" s="10">
        <v>3359</v>
      </c>
      <c r="EA4" s="10">
        <v>3292</v>
      </c>
      <c r="EB4" s="10">
        <v>3258</v>
      </c>
      <c r="EC4" s="10">
        <v>3351</v>
      </c>
      <c r="ED4" s="14">
        <v>3728</v>
      </c>
      <c r="EE4" s="10">
        <v>3778</v>
      </c>
      <c r="EF4" s="10">
        <v>3788</v>
      </c>
      <c r="EG4" s="10">
        <v>3719</v>
      </c>
      <c r="EH4" s="10">
        <v>3685</v>
      </c>
      <c r="EI4" s="10">
        <v>3562</v>
      </c>
      <c r="EJ4" s="10">
        <v>3589</v>
      </c>
      <c r="EK4" s="10">
        <v>3753</v>
      </c>
      <c r="EL4" s="10">
        <v>3891</v>
      </c>
      <c r="EM4" s="10">
        <v>3805</v>
      </c>
      <c r="EN4" s="10">
        <v>3853</v>
      </c>
      <c r="EO4" s="10">
        <v>4107</v>
      </c>
      <c r="EP4" s="14">
        <v>4601</v>
      </c>
      <c r="EQ4" s="10">
        <v>4632</v>
      </c>
      <c r="ER4" s="10">
        <v>4554</v>
      </c>
      <c r="ES4" s="10">
        <v>4450</v>
      </c>
      <c r="ET4" s="10">
        <v>4281</v>
      </c>
      <c r="EU4" s="10">
        <v>4189</v>
      </c>
      <c r="EV4" s="10">
        <v>4013</v>
      </c>
      <c r="EW4" s="10">
        <v>3963</v>
      </c>
      <c r="EX4" s="10">
        <v>4182</v>
      </c>
      <c r="EY4" s="10">
        <v>4220</v>
      </c>
      <c r="EZ4" s="10">
        <v>4232</v>
      </c>
      <c r="FA4" s="10">
        <v>4380</v>
      </c>
      <c r="FB4" s="14">
        <v>4679</v>
      </c>
      <c r="FC4" s="10">
        <v>4744</v>
      </c>
      <c r="FD4" s="40">
        <v>4602</v>
      </c>
      <c r="FE4" s="40">
        <v>4420</v>
      </c>
      <c r="FF4" s="41">
        <v>4281</v>
      </c>
      <c r="FG4" s="40">
        <v>4074</v>
      </c>
      <c r="FH4" s="40">
        <v>3860</v>
      </c>
      <c r="FI4" s="40">
        <v>3900</v>
      </c>
      <c r="FJ4" s="40">
        <v>3953</v>
      </c>
      <c r="FK4" s="40">
        <v>3801</v>
      </c>
      <c r="FL4" s="4">
        <v>3782</v>
      </c>
      <c r="FM4" s="4">
        <v>3869</v>
      </c>
      <c r="FN4" s="46">
        <v>4193</v>
      </c>
      <c r="FO4" s="4">
        <v>4160</v>
      </c>
      <c r="FP4" s="4">
        <v>4052</v>
      </c>
      <c r="FQ4" s="4">
        <v>4095</v>
      </c>
      <c r="FR4" s="4">
        <v>3633</v>
      </c>
      <c r="FS4" s="4">
        <v>3265</v>
      </c>
      <c r="FT4" s="4">
        <v>3088</v>
      </c>
      <c r="FU4" s="4">
        <v>2991</v>
      </c>
      <c r="FV4" s="4">
        <v>3048</v>
      </c>
      <c r="FW4" s="4">
        <v>2996</v>
      </c>
      <c r="FX4" s="4">
        <v>2865</v>
      </c>
      <c r="FY4" s="4">
        <v>2885</v>
      </c>
      <c r="FZ4" s="4">
        <v>3113</v>
      </c>
      <c r="GA4" s="50">
        <v>3218</v>
      </c>
      <c r="GB4" s="4">
        <v>3133</v>
      </c>
      <c r="GC4" s="4">
        <v>2977</v>
      </c>
      <c r="GD4" s="4">
        <v>2744</v>
      </c>
      <c r="GE4" s="4">
        <v>2610</v>
      </c>
      <c r="GF4" s="4">
        <v>2531</v>
      </c>
      <c r="GG4" s="4">
        <v>2540</v>
      </c>
      <c r="GH4" s="4">
        <v>2629</v>
      </c>
      <c r="GI4" s="4">
        <v>2683</v>
      </c>
      <c r="GJ4" s="4">
        <v>2761</v>
      </c>
      <c r="GK4" s="4">
        <v>2900</v>
      </c>
      <c r="GL4" s="4">
        <v>3199</v>
      </c>
      <c r="GM4" s="50">
        <v>3405</v>
      </c>
      <c r="GN4" s="4">
        <v>3408</v>
      </c>
      <c r="GO4" s="4">
        <v>3858</v>
      </c>
      <c r="GP4" s="4">
        <v>4304</v>
      </c>
      <c r="GQ4" s="4">
        <v>4446</v>
      </c>
      <c r="GR4" s="4">
        <v>4366</v>
      </c>
      <c r="GS4" s="4">
        <v>4393</v>
      </c>
      <c r="GT4" s="4">
        <v>4675</v>
      </c>
      <c r="GU4" s="4">
        <v>4581</v>
      </c>
      <c r="GV4" s="4">
        <v>4558</v>
      </c>
      <c r="GW4" s="4">
        <v>4560</v>
      </c>
      <c r="GX4" s="47">
        <v>4951</v>
      </c>
      <c r="GY4" s="4">
        <v>5246</v>
      </c>
      <c r="GZ4" s="4">
        <v>5243</v>
      </c>
      <c r="HA4" s="4">
        <v>4877</v>
      </c>
      <c r="HB4" s="4">
        <v>4672</v>
      </c>
      <c r="HC4" s="4">
        <v>4432</v>
      </c>
      <c r="HD4" s="4">
        <v>4215</v>
      </c>
      <c r="HE4" s="4">
        <v>4085</v>
      </c>
      <c r="HF4" s="4">
        <v>4077</v>
      </c>
      <c r="HG4" s="4">
        <v>3875</v>
      </c>
      <c r="HH4" s="4">
        <v>3741</v>
      </c>
      <c r="HI4" s="4">
        <v>3780</v>
      </c>
      <c r="HJ4" s="4">
        <v>4023</v>
      </c>
      <c r="HK4" s="50">
        <v>4081</v>
      </c>
      <c r="HL4" s="4">
        <v>4008</v>
      </c>
      <c r="HM4" s="4">
        <v>3762</v>
      </c>
      <c r="HN4" s="4">
        <v>3574</v>
      </c>
      <c r="HO4" s="4">
        <v>3267</v>
      </c>
      <c r="HP4" s="4">
        <v>3068</v>
      </c>
      <c r="HQ4" s="4">
        <v>3069</v>
      </c>
      <c r="HR4" s="4">
        <v>3087</v>
      </c>
      <c r="HS4" s="4">
        <v>2878</v>
      </c>
      <c r="HT4" s="4">
        <v>2787</v>
      </c>
      <c r="HU4" s="4">
        <v>2814</v>
      </c>
      <c r="HV4" s="4">
        <v>3074</v>
      </c>
      <c r="HW4" s="50">
        <v>3149</v>
      </c>
      <c r="HX4" s="4">
        <v>3107</v>
      </c>
      <c r="HY4" s="4">
        <v>2984</v>
      </c>
      <c r="HZ4" s="4">
        <v>2870</v>
      </c>
      <c r="IA4" s="4">
        <v>2792</v>
      </c>
      <c r="IB4" s="4">
        <v>2642</v>
      </c>
      <c r="IC4" s="4">
        <v>2731</v>
      </c>
      <c r="ID4" s="4">
        <v>2855</v>
      </c>
      <c r="IE4" s="4">
        <v>2817</v>
      </c>
      <c r="IF4" s="4">
        <v>2815</v>
      </c>
      <c r="IG4" s="4">
        <v>2963</v>
      </c>
      <c r="IH4" s="4">
        <v>3295</v>
      </c>
      <c r="II4" s="50">
        <v>3460</v>
      </c>
      <c r="IJ4" s="4">
        <v>3368</v>
      </c>
      <c r="IK4" s="4">
        <v>3306</v>
      </c>
      <c r="IL4" s="4">
        <v>3259</v>
      </c>
      <c r="IM4" s="4">
        <v>3282</v>
      </c>
      <c r="IN4" s="4">
        <v>3315</v>
      </c>
      <c r="IO4" s="4">
        <v>3486</v>
      </c>
      <c r="IP4" s="4">
        <v>3623</v>
      </c>
      <c r="IQ4" s="4">
        <v>3711</v>
      </c>
      <c r="IR4" s="4">
        <v>3822</v>
      </c>
      <c r="IS4" s="4">
        <v>3984</v>
      </c>
      <c r="IT4" s="47">
        <v>4343</v>
      </c>
      <c r="IU4" s="4">
        <v>4633</v>
      </c>
      <c r="IV4" s="4">
        <v>4676</v>
      </c>
      <c r="IW4" s="4">
        <v>4663</v>
      </c>
      <c r="IX4" s="4">
        <v>4510</v>
      </c>
      <c r="IY4" s="4">
        <v>4383</v>
      </c>
      <c r="IZ4" s="4">
        <v>4471</v>
      </c>
      <c r="JA4" s="4">
        <v>4531</v>
      </c>
      <c r="JB4" s="4">
        <v>4658</v>
      </c>
      <c r="JC4" s="4">
        <v>4618</v>
      </c>
      <c r="JD4" s="4">
        <v>4594</v>
      </c>
      <c r="JE4" s="4">
        <v>4644</v>
      </c>
      <c r="JF4" s="4">
        <v>4932</v>
      </c>
      <c r="JG4" s="50">
        <v>5213</v>
      </c>
      <c r="JH4" s="4">
        <v>5165</v>
      </c>
      <c r="JI4" s="4">
        <v>4894</v>
      </c>
    </row>
    <row r="5" spans="1:269" ht="13.5" x14ac:dyDescent="0.25">
      <c r="A5" s="1" t="s">
        <v>2</v>
      </c>
      <c r="B5" s="1">
        <v>3</v>
      </c>
      <c r="C5" s="9">
        <v>4400</v>
      </c>
      <c r="D5" s="9">
        <v>4398</v>
      </c>
      <c r="E5" s="9">
        <v>4269</v>
      </c>
      <c r="F5" s="9">
        <v>4138</v>
      </c>
      <c r="G5" s="9">
        <v>4002</v>
      </c>
      <c r="H5" s="9">
        <v>3889</v>
      </c>
      <c r="I5" s="9">
        <v>3812</v>
      </c>
      <c r="J5" s="9">
        <v>3876</v>
      </c>
      <c r="K5" s="9">
        <v>3839</v>
      </c>
      <c r="L5" s="9">
        <v>3751</v>
      </c>
      <c r="M5" s="9">
        <v>3914</v>
      </c>
      <c r="N5" s="13">
        <v>4041</v>
      </c>
      <c r="O5" s="9">
        <v>4041</v>
      </c>
      <c r="P5" s="9">
        <v>4074</v>
      </c>
      <c r="Q5" s="9">
        <f>[4]Alter!Q16</f>
        <v>3999</v>
      </c>
      <c r="R5" s="9">
        <v>3886</v>
      </c>
      <c r="S5" s="9">
        <v>3833</v>
      </c>
      <c r="T5" s="9">
        <v>3752</v>
      </c>
      <c r="U5" s="9">
        <v>3727</v>
      </c>
      <c r="V5" s="9">
        <v>3707</v>
      </c>
      <c r="W5" s="9">
        <v>3656</v>
      </c>
      <c r="X5" s="9">
        <v>3697</v>
      </c>
      <c r="Y5" s="9">
        <v>3764</v>
      </c>
      <c r="Z5" s="13">
        <v>3802</v>
      </c>
      <c r="AA5" s="9">
        <v>3880</v>
      </c>
      <c r="AB5" s="9">
        <v>3777</v>
      </c>
      <c r="AC5" s="9">
        <v>3726</v>
      </c>
      <c r="AD5" s="9">
        <v>3552</v>
      </c>
      <c r="AE5" s="9">
        <v>3376</v>
      </c>
      <c r="AF5" s="9">
        <v>3279</v>
      </c>
      <c r="AG5" s="9">
        <v>3217</v>
      </c>
      <c r="AH5" s="9">
        <v>3156</v>
      </c>
      <c r="AI5" s="9">
        <v>3118</v>
      </c>
      <c r="AJ5" s="9">
        <v>3059</v>
      </c>
      <c r="AK5" s="9">
        <v>3042</v>
      </c>
      <c r="AL5" s="13">
        <v>3141</v>
      </c>
      <c r="AM5" s="9">
        <v>3163</v>
      </c>
      <c r="AN5" s="9">
        <v>3134</v>
      </c>
      <c r="AO5" s="9">
        <v>3009</v>
      </c>
      <c r="AP5" s="9">
        <v>2926</v>
      </c>
      <c r="AQ5" s="9">
        <v>2841</v>
      </c>
      <c r="AR5" s="9">
        <v>2729</v>
      </c>
      <c r="AS5" s="9">
        <v>2711</v>
      </c>
      <c r="AT5" s="9">
        <v>2661</v>
      </c>
      <c r="AU5" s="9">
        <v>2572</v>
      </c>
      <c r="AV5" s="9">
        <v>2521</v>
      </c>
      <c r="AW5" s="9">
        <v>2612</v>
      </c>
      <c r="AX5" s="13">
        <v>2699</v>
      </c>
      <c r="AY5" s="9">
        <v>2751</v>
      </c>
      <c r="AZ5" s="9">
        <v>2658</v>
      </c>
      <c r="BA5" s="9">
        <v>2542</v>
      </c>
      <c r="BB5" s="9">
        <v>2541</v>
      </c>
      <c r="BC5" s="9">
        <v>2393</v>
      </c>
      <c r="BD5" s="9">
        <v>2298</v>
      </c>
      <c r="BE5" s="9">
        <v>2255</v>
      </c>
      <c r="BF5" s="9">
        <v>2287</v>
      </c>
      <c r="BG5" s="9">
        <v>2309</v>
      </c>
      <c r="BH5" s="9">
        <v>2390</v>
      </c>
      <c r="BI5" s="9">
        <v>2605</v>
      </c>
      <c r="BJ5" s="13">
        <v>2938</v>
      </c>
      <c r="BK5" s="9">
        <v>3219</v>
      </c>
      <c r="BL5" s="9">
        <v>3417</v>
      </c>
      <c r="BM5" s="9">
        <v>3646</v>
      </c>
      <c r="BN5" s="9">
        <v>3804</v>
      </c>
      <c r="BO5" s="9">
        <v>3893</v>
      </c>
      <c r="BP5" s="9">
        <v>4118</v>
      </c>
      <c r="BQ5" s="9">
        <v>4210</v>
      </c>
      <c r="BR5" s="9">
        <v>4254</v>
      </c>
      <c r="BS5" s="9">
        <v>4342</v>
      </c>
      <c r="BT5" s="9">
        <v>4407</v>
      </c>
      <c r="BU5" s="9">
        <v>4537</v>
      </c>
      <c r="BV5" s="13">
        <v>4775</v>
      </c>
      <c r="BW5" s="9">
        <v>4827</v>
      </c>
      <c r="BX5" s="9">
        <v>4759</v>
      </c>
      <c r="BY5" s="9">
        <v>4662</v>
      </c>
      <c r="BZ5" s="9">
        <v>4457</v>
      </c>
      <c r="CA5" s="9">
        <v>4284</v>
      </c>
      <c r="CB5" s="9">
        <v>4114</v>
      </c>
      <c r="CC5" s="9">
        <v>4007</v>
      </c>
      <c r="CD5" s="9">
        <v>3933</v>
      </c>
      <c r="CE5" s="9">
        <v>3768</v>
      </c>
      <c r="CF5" s="9">
        <v>3668</v>
      </c>
      <c r="CG5" s="9">
        <v>3635</v>
      </c>
      <c r="CH5" s="13">
        <v>3750</v>
      </c>
      <c r="CI5" s="9">
        <v>3705</v>
      </c>
      <c r="CJ5" s="9">
        <v>3537</v>
      </c>
      <c r="CK5" s="9">
        <v>3388</v>
      </c>
      <c r="CL5" s="9">
        <v>3074</v>
      </c>
      <c r="CM5" s="9">
        <v>2802</v>
      </c>
      <c r="CN5" s="9">
        <v>2749</v>
      </c>
      <c r="CO5" s="9">
        <v>2599</v>
      </c>
      <c r="CP5" s="9">
        <v>2723</v>
      </c>
      <c r="CQ5" s="9">
        <v>2731</v>
      </c>
      <c r="CR5" s="9">
        <v>2730</v>
      </c>
      <c r="CS5" s="9">
        <v>2900</v>
      </c>
      <c r="CT5" s="13">
        <v>3110</v>
      </c>
      <c r="CU5" s="9">
        <v>3197</v>
      </c>
      <c r="CV5" s="9">
        <v>3202</v>
      </c>
      <c r="CW5" s="9">
        <v>3103</v>
      </c>
      <c r="CX5" s="9">
        <v>3032</v>
      </c>
      <c r="CY5" s="9">
        <v>2944</v>
      </c>
      <c r="CZ5" s="9">
        <v>2877</v>
      </c>
      <c r="DA5" s="9">
        <v>2862</v>
      </c>
      <c r="DB5" s="9">
        <v>2928</v>
      </c>
      <c r="DC5" s="9">
        <v>2907</v>
      </c>
      <c r="DD5" s="9">
        <v>2974</v>
      </c>
      <c r="DE5" s="9">
        <v>3194</v>
      </c>
      <c r="DF5" s="13">
        <v>3458</v>
      </c>
      <c r="DG5" s="9">
        <v>3578</v>
      </c>
      <c r="DH5" s="9">
        <v>3564</v>
      </c>
      <c r="DI5" s="9">
        <v>3465</v>
      </c>
      <c r="DJ5" s="9">
        <v>3348</v>
      </c>
      <c r="DK5" s="9">
        <v>3257</v>
      </c>
      <c r="DL5" s="9">
        <v>3149</v>
      </c>
      <c r="DM5" s="9">
        <v>3191</v>
      </c>
      <c r="DN5" s="9">
        <v>3104</v>
      </c>
      <c r="DO5" s="9">
        <v>3067</v>
      </c>
      <c r="DP5" s="9">
        <v>3184</v>
      </c>
      <c r="DQ5" s="9">
        <v>3323</v>
      </c>
      <c r="DR5" s="13">
        <v>3502</v>
      </c>
      <c r="DS5" s="9">
        <v>3458</v>
      </c>
      <c r="DT5" s="9">
        <v>3389</v>
      </c>
      <c r="DU5" s="9">
        <v>3300</v>
      </c>
      <c r="DV5" s="9">
        <v>3186</v>
      </c>
      <c r="DW5" s="9">
        <v>3084</v>
      </c>
      <c r="DX5" s="9">
        <v>3005</v>
      </c>
      <c r="DY5" s="9">
        <v>2965</v>
      </c>
      <c r="DZ5" s="9">
        <v>2866</v>
      </c>
      <c r="EA5" s="9">
        <v>2843</v>
      </c>
      <c r="EB5" s="9">
        <v>2852</v>
      </c>
      <c r="EC5" s="9">
        <v>3000</v>
      </c>
      <c r="ED5" s="13">
        <v>3245</v>
      </c>
      <c r="EE5" s="9">
        <v>3268</v>
      </c>
      <c r="EF5" s="9">
        <v>3260</v>
      </c>
      <c r="EG5" s="9">
        <v>3270</v>
      </c>
      <c r="EH5" s="9">
        <v>3265</v>
      </c>
      <c r="EI5" s="9">
        <v>3184</v>
      </c>
      <c r="EJ5" s="9">
        <v>3190</v>
      </c>
      <c r="EK5" s="9">
        <v>3228</v>
      </c>
      <c r="EL5" s="9">
        <v>3247</v>
      </c>
      <c r="EM5" s="9">
        <v>3260</v>
      </c>
      <c r="EN5" s="9">
        <v>3336</v>
      </c>
      <c r="EO5" s="9">
        <v>3641</v>
      </c>
      <c r="EP5" s="13">
        <v>3879</v>
      </c>
      <c r="EQ5" s="9">
        <v>3897</v>
      </c>
      <c r="ER5" s="9">
        <v>3947</v>
      </c>
      <c r="ES5" s="9">
        <v>3894</v>
      </c>
      <c r="ET5" s="9">
        <v>3805</v>
      </c>
      <c r="EU5" s="9">
        <v>3721</v>
      </c>
      <c r="EV5" s="9">
        <v>3686</v>
      </c>
      <c r="EW5" s="9">
        <v>3602</v>
      </c>
      <c r="EX5" s="9">
        <v>3675</v>
      </c>
      <c r="EY5" s="9">
        <v>3715</v>
      </c>
      <c r="EZ5" s="9">
        <v>3753</v>
      </c>
      <c r="FA5" s="9">
        <v>3947</v>
      </c>
      <c r="FB5" s="13">
        <v>4126</v>
      </c>
      <c r="FC5" s="9">
        <v>4140</v>
      </c>
      <c r="FD5" s="36">
        <v>4104</v>
      </c>
      <c r="FE5" s="33">
        <v>4011</v>
      </c>
      <c r="FF5" s="33">
        <v>3835</v>
      </c>
      <c r="FG5" s="36">
        <v>3734</v>
      </c>
      <c r="FH5" s="36">
        <v>3635</v>
      </c>
      <c r="FI5" s="36">
        <v>3652</v>
      </c>
      <c r="FJ5" s="36">
        <v>3560</v>
      </c>
      <c r="FK5" s="36">
        <v>3559</v>
      </c>
      <c r="FL5" s="1">
        <v>3559</v>
      </c>
      <c r="FM5" s="1">
        <v>3718</v>
      </c>
      <c r="FN5" s="6">
        <v>3819</v>
      </c>
      <c r="FO5" s="1">
        <v>3748</v>
      </c>
      <c r="FP5" s="1">
        <v>3649</v>
      </c>
      <c r="FQ5" s="1">
        <v>3604</v>
      </c>
      <c r="FR5" s="1">
        <v>3451</v>
      </c>
      <c r="FS5" s="1">
        <v>3273</v>
      </c>
      <c r="FT5" s="1">
        <v>3118</v>
      </c>
      <c r="FU5" s="1">
        <v>3106</v>
      </c>
      <c r="FV5" s="1">
        <v>3046</v>
      </c>
      <c r="FW5" s="1">
        <v>2980</v>
      </c>
      <c r="FX5" s="1">
        <v>3021</v>
      </c>
      <c r="FY5" s="1">
        <v>3219</v>
      </c>
      <c r="FZ5" s="1">
        <v>3338</v>
      </c>
      <c r="GA5" s="48">
        <v>3348</v>
      </c>
      <c r="GB5" s="1">
        <v>3302</v>
      </c>
      <c r="GC5" s="1">
        <v>3221</v>
      </c>
      <c r="GD5" s="1">
        <v>3089</v>
      </c>
      <c r="GE5" s="1">
        <v>2972</v>
      </c>
      <c r="GF5" s="1">
        <v>2915</v>
      </c>
      <c r="GG5" s="1">
        <v>2915</v>
      </c>
      <c r="GH5" s="1">
        <v>2853</v>
      </c>
      <c r="GI5" s="1">
        <v>2887</v>
      </c>
      <c r="GJ5" s="1">
        <v>3000</v>
      </c>
      <c r="GK5" s="1">
        <v>3187</v>
      </c>
      <c r="GL5" s="1">
        <v>3363</v>
      </c>
      <c r="GM5" s="48">
        <v>3408</v>
      </c>
      <c r="GN5" s="1">
        <v>3313</v>
      </c>
      <c r="GO5" s="1">
        <v>3648</v>
      </c>
      <c r="GP5" s="1">
        <v>3927</v>
      </c>
      <c r="GQ5" s="1">
        <v>4032</v>
      </c>
      <c r="GR5" s="1">
        <v>4099</v>
      </c>
      <c r="GS5" s="1">
        <v>4265</v>
      </c>
      <c r="GT5" s="1">
        <v>4246</v>
      </c>
      <c r="GU5" s="1">
        <v>4266</v>
      </c>
      <c r="GV5" s="1">
        <v>4340</v>
      </c>
      <c r="GW5" s="1">
        <v>4570</v>
      </c>
      <c r="GX5" s="6">
        <v>4783</v>
      </c>
      <c r="GY5" s="1">
        <v>4761</v>
      </c>
      <c r="GZ5" s="1">
        <v>4727</v>
      </c>
      <c r="HA5" s="1">
        <v>4637</v>
      </c>
      <c r="HB5" s="1">
        <v>4498</v>
      </c>
      <c r="HC5" s="1">
        <v>4366</v>
      </c>
      <c r="HD5" s="1">
        <v>4220</v>
      </c>
      <c r="HE5" s="1">
        <v>4029</v>
      </c>
      <c r="HF5" s="1">
        <v>3941</v>
      </c>
      <c r="HG5" s="1">
        <v>3855</v>
      </c>
      <c r="HH5" s="1">
        <v>3788</v>
      </c>
      <c r="HI5" s="1">
        <v>3885</v>
      </c>
      <c r="HJ5" s="1">
        <v>4001</v>
      </c>
      <c r="HK5" s="48">
        <v>3922</v>
      </c>
      <c r="HL5" s="1">
        <v>3874</v>
      </c>
      <c r="HM5" s="1">
        <v>3754</v>
      </c>
      <c r="HN5" s="1">
        <v>3528</v>
      </c>
      <c r="HO5" s="1">
        <v>3324</v>
      </c>
      <c r="HP5" s="1">
        <v>3187</v>
      </c>
      <c r="HQ5" s="1">
        <v>3090</v>
      </c>
      <c r="HR5" s="1">
        <v>2953</v>
      </c>
      <c r="HS5" s="1">
        <v>2806</v>
      </c>
      <c r="HT5" s="1">
        <v>2824</v>
      </c>
      <c r="HU5" s="1">
        <v>2900</v>
      </c>
      <c r="HV5" s="1">
        <v>2966</v>
      </c>
      <c r="HW5" s="48">
        <v>2945</v>
      </c>
      <c r="HX5" s="1">
        <v>2936</v>
      </c>
      <c r="HY5" s="1">
        <v>2853</v>
      </c>
      <c r="HZ5" s="1">
        <v>2743</v>
      </c>
      <c r="IA5" s="1">
        <v>2698</v>
      </c>
      <c r="IB5" s="1">
        <v>2620</v>
      </c>
      <c r="IC5" s="1">
        <v>2671</v>
      </c>
      <c r="ID5" s="1">
        <v>2670</v>
      </c>
      <c r="IE5" s="1">
        <v>2626</v>
      </c>
      <c r="IF5" s="1">
        <v>2771</v>
      </c>
      <c r="IG5" s="1">
        <v>2982</v>
      </c>
      <c r="IH5" s="1">
        <v>3086</v>
      </c>
      <c r="II5" s="48">
        <v>3200</v>
      </c>
      <c r="IJ5" s="1">
        <v>3223</v>
      </c>
      <c r="IK5" s="1">
        <v>3192</v>
      </c>
      <c r="IL5" s="1">
        <v>3210</v>
      </c>
      <c r="IM5" s="1">
        <v>3252</v>
      </c>
      <c r="IN5" s="1">
        <v>3313</v>
      </c>
      <c r="IO5" s="1">
        <v>3368</v>
      </c>
      <c r="IP5" s="1">
        <v>3351</v>
      </c>
      <c r="IQ5" s="1">
        <v>3429</v>
      </c>
      <c r="IR5" s="1">
        <v>3596</v>
      </c>
      <c r="IS5" s="1">
        <v>3797</v>
      </c>
      <c r="IT5" s="6">
        <v>4032</v>
      </c>
      <c r="IU5" s="1">
        <v>4138</v>
      </c>
      <c r="IV5" s="1">
        <v>4153</v>
      </c>
      <c r="IW5" s="1">
        <v>4142</v>
      </c>
      <c r="IX5" s="1">
        <v>4043</v>
      </c>
      <c r="IY5" s="1">
        <v>3951</v>
      </c>
      <c r="IZ5" s="1">
        <v>4038</v>
      </c>
      <c r="JA5" s="1">
        <v>4111</v>
      </c>
      <c r="JB5" s="1">
        <v>4083</v>
      </c>
      <c r="JC5" s="1">
        <v>4076</v>
      </c>
      <c r="JD5" s="1">
        <v>4234</v>
      </c>
      <c r="JE5" s="1">
        <v>4370</v>
      </c>
      <c r="JF5" s="1">
        <v>4504</v>
      </c>
      <c r="JG5" s="48">
        <v>4558</v>
      </c>
      <c r="JH5" s="1">
        <v>4481</v>
      </c>
      <c r="JI5" s="1">
        <v>4410</v>
      </c>
    </row>
    <row r="6" spans="1:269" ht="13.5" x14ac:dyDescent="0.25">
      <c r="A6" s="1" t="s">
        <v>3</v>
      </c>
      <c r="B6" s="1">
        <v>4</v>
      </c>
      <c r="C6" s="9">
        <v>3267</v>
      </c>
      <c r="D6" s="9">
        <v>3277</v>
      </c>
      <c r="E6" s="9">
        <v>3248</v>
      </c>
      <c r="F6" s="9">
        <v>3231</v>
      </c>
      <c r="G6" s="9">
        <v>3138</v>
      </c>
      <c r="H6" s="9">
        <v>3121</v>
      </c>
      <c r="I6" s="9">
        <v>3217</v>
      </c>
      <c r="J6" s="9">
        <v>3337</v>
      </c>
      <c r="K6" s="9">
        <v>3274</v>
      </c>
      <c r="L6" s="9">
        <v>3160</v>
      </c>
      <c r="M6" s="9">
        <v>3187</v>
      </c>
      <c r="N6" s="13">
        <v>3242</v>
      </c>
      <c r="O6" s="9">
        <v>3276</v>
      </c>
      <c r="P6" s="9">
        <v>3324</v>
      </c>
      <c r="Q6" s="9">
        <f>[4]Alter!Q31</f>
        <v>3236</v>
      </c>
      <c r="R6" s="9">
        <v>3177</v>
      </c>
      <c r="S6" s="9">
        <v>3209</v>
      </c>
      <c r="T6" s="9">
        <v>3205</v>
      </c>
      <c r="U6" s="9">
        <v>3224</v>
      </c>
      <c r="V6" s="9">
        <v>3291</v>
      </c>
      <c r="W6" s="9">
        <v>3293</v>
      </c>
      <c r="X6" s="9">
        <v>3257</v>
      </c>
      <c r="Y6" s="9">
        <v>3248</v>
      </c>
      <c r="Z6" s="13">
        <v>3238</v>
      </c>
      <c r="AA6" s="9">
        <v>3195</v>
      </c>
      <c r="AB6" s="9">
        <v>3176</v>
      </c>
      <c r="AC6" s="9">
        <v>3156</v>
      </c>
      <c r="AD6" s="9">
        <v>3105</v>
      </c>
      <c r="AE6" s="9">
        <v>3020</v>
      </c>
      <c r="AF6" s="9">
        <v>2964</v>
      </c>
      <c r="AG6" s="9">
        <v>2974</v>
      </c>
      <c r="AH6" s="9">
        <v>2982</v>
      </c>
      <c r="AI6" s="9">
        <v>2923</v>
      </c>
      <c r="AJ6" s="9">
        <v>2842</v>
      </c>
      <c r="AK6" s="9">
        <v>2802</v>
      </c>
      <c r="AL6" s="13">
        <v>2796</v>
      </c>
      <c r="AM6" s="9">
        <v>2777</v>
      </c>
      <c r="AN6" s="9">
        <v>2772</v>
      </c>
      <c r="AO6" s="9">
        <v>2742</v>
      </c>
      <c r="AP6" s="9">
        <v>2639</v>
      </c>
      <c r="AQ6" s="9">
        <v>2609</v>
      </c>
      <c r="AR6" s="9">
        <v>2591</v>
      </c>
      <c r="AS6" s="9">
        <v>2614</v>
      </c>
      <c r="AT6" s="9">
        <v>2648</v>
      </c>
      <c r="AU6" s="9">
        <v>2566</v>
      </c>
      <c r="AV6" s="9">
        <v>2537</v>
      </c>
      <c r="AW6" s="9">
        <v>2519</v>
      </c>
      <c r="AX6" s="13">
        <v>2564</v>
      </c>
      <c r="AY6" s="9">
        <v>2580</v>
      </c>
      <c r="AZ6" s="9">
        <v>2460</v>
      </c>
      <c r="BA6" s="9">
        <v>2484</v>
      </c>
      <c r="BB6" s="9">
        <v>2448</v>
      </c>
      <c r="BC6" s="9">
        <v>2335</v>
      </c>
      <c r="BD6" s="9">
        <v>2256</v>
      </c>
      <c r="BE6" s="9">
        <v>2311</v>
      </c>
      <c r="BF6" s="9">
        <v>2256</v>
      </c>
      <c r="BG6" s="9">
        <v>2308</v>
      </c>
      <c r="BH6" s="9">
        <v>2290</v>
      </c>
      <c r="BI6" s="9">
        <v>2299</v>
      </c>
      <c r="BJ6" s="13">
        <v>2417</v>
      </c>
      <c r="BK6" s="9">
        <v>2543</v>
      </c>
      <c r="BL6" s="9">
        <v>2608</v>
      </c>
      <c r="BM6" s="9">
        <v>2706</v>
      </c>
      <c r="BN6" s="9">
        <v>2744</v>
      </c>
      <c r="BO6" s="9">
        <v>2788</v>
      </c>
      <c r="BP6" s="9">
        <v>2997</v>
      </c>
      <c r="BQ6" s="9">
        <v>3128</v>
      </c>
      <c r="BR6" s="9">
        <v>3212</v>
      </c>
      <c r="BS6" s="9">
        <v>3245</v>
      </c>
      <c r="BT6" s="9">
        <v>3264</v>
      </c>
      <c r="BU6" s="9">
        <v>3311</v>
      </c>
      <c r="BV6" s="13">
        <v>3428</v>
      </c>
      <c r="BW6" s="9">
        <v>3359</v>
      </c>
      <c r="BX6" s="9">
        <v>3356</v>
      </c>
      <c r="BY6" s="9">
        <v>3392</v>
      </c>
      <c r="BZ6" s="9">
        <v>3254</v>
      </c>
      <c r="CA6" s="9">
        <v>3173</v>
      </c>
      <c r="CB6" s="9">
        <v>3108</v>
      </c>
      <c r="CC6" s="9">
        <v>3126</v>
      </c>
      <c r="CD6" s="9">
        <v>3118</v>
      </c>
      <c r="CE6" s="9">
        <v>3040</v>
      </c>
      <c r="CF6" s="9">
        <v>3040</v>
      </c>
      <c r="CG6" s="9">
        <v>2960</v>
      </c>
      <c r="CH6" s="13">
        <v>2943</v>
      </c>
      <c r="CI6" s="9">
        <v>2882</v>
      </c>
      <c r="CJ6" s="9">
        <v>2812</v>
      </c>
      <c r="CK6" s="9">
        <v>2748</v>
      </c>
      <c r="CL6" s="9">
        <v>2537</v>
      </c>
      <c r="CM6" s="9">
        <v>2449</v>
      </c>
      <c r="CN6" s="9">
        <v>2413</v>
      </c>
      <c r="CO6" s="9">
        <v>2368</v>
      </c>
      <c r="CP6" s="9">
        <v>2358</v>
      </c>
      <c r="CQ6" s="9">
        <v>2335</v>
      </c>
      <c r="CR6" s="9">
        <v>2380</v>
      </c>
      <c r="CS6" s="9">
        <v>2493</v>
      </c>
      <c r="CT6" s="13">
        <v>2528</v>
      </c>
      <c r="CU6" s="9">
        <v>2511</v>
      </c>
      <c r="CV6" s="9">
        <v>2513</v>
      </c>
      <c r="CW6" s="9">
        <v>2413</v>
      </c>
      <c r="CX6" s="9">
        <v>2413</v>
      </c>
      <c r="CY6" s="9">
        <v>2400</v>
      </c>
      <c r="CZ6" s="9">
        <v>2422</v>
      </c>
      <c r="DA6" s="9">
        <v>2490</v>
      </c>
      <c r="DB6" s="9">
        <v>2545</v>
      </c>
      <c r="DC6" s="9">
        <v>2571</v>
      </c>
      <c r="DD6" s="9">
        <v>2682</v>
      </c>
      <c r="DE6" s="9">
        <v>2804</v>
      </c>
      <c r="DF6" s="13">
        <v>2852</v>
      </c>
      <c r="DG6" s="9">
        <v>2942</v>
      </c>
      <c r="DH6" s="9">
        <v>2920</v>
      </c>
      <c r="DI6" s="9">
        <v>2830</v>
      </c>
      <c r="DJ6" s="9">
        <v>2804</v>
      </c>
      <c r="DK6" s="9">
        <v>2722</v>
      </c>
      <c r="DL6" s="9">
        <v>2720</v>
      </c>
      <c r="DM6" s="9">
        <v>2712</v>
      </c>
      <c r="DN6" s="9">
        <v>2722</v>
      </c>
      <c r="DO6" s="9">
        <v>2668</v>
      </c>
      <c r="DP6" s="9">
        <v>2713</v>
      </c>
      <c r="DQ6" s="9">
        <v>2741</v>
      </c>
      <c r="DR6" s="13">
        <v>2693</v>
      </c>
      <c r="DS6" s="9">
        <v>2696</v>
      </c>
      <c r="DT6" s="9">
        <v>2671</v>
      </c>
      <c r="DU6" s="9">
        <v>2623</v>
      </c>
      <c r="DV6" s="9">
        <v>2586</v>
      </c>
      <c r="DW6" s="9">
        <v>2518</v>
      </c>
      <c r="DX6" s="9">
        <v>2534</v>
      </c>
      <c r="DY6" s="9">
        <v>2546</v>
      </c>
      <c r="DZ6" s="9">
        <v>2474</v>
      </c>
      <c r="EA6" s="9">
        <v>2447</v>
      </c>
      <c r="EB6" s="9">
        <v>2430</v>
      </c>
      <c r="EC6" s="9">
        <v>2437</v>
      </c>
      <c r="ED6" s="13">
        <v>2478</v>
      </c>
      <c r="EE6" s="9">
        <v>2458</v>
      </c>
      <c r="EF6" s="9">
        <v>2512</v>
      </c>
      <c r="EG6" s="9">
        <v>2608</v>
      </c>
      <c r="EH6" s="9">
        <v>2632</v>
      </c>
      <c r="EI6" s="9">
        <v>2600</v>
      </c>
      <c r="EJ6" s="9">
        <v>2685</v>
      </c>
      <c r="EK6" s="9">
        <v>2821</v>
      </c>
      <c r="EL6" s="9">
        <v>2833</v>
      </c>
      <c r="EM6" s="9">
        <v>2881</v>
      </c>
      <c r="EN6" s="9">
        <v>2949</v>
      </c>
      <c r="EO6" s="9">
        <v>3034</v>
      </c>
      <c r="EP6" s="13">
        <v>3092</v>
      </c>
      <c r="EQ6" s="9">
        <v>3057</v>
      </c>
      <c r="ER6" s="9">
        <v>3055</v>
      </c>
      <c r="ES6" s="9">
        <v>3021</v>
      </c>
      <c r="ET6" s="9">
        <v>2993</v>
      </c>
      <c r="EU6" s="9">
        <v>3006</v>
      </c>
      <c r="EV6" s="9">
        <v>2986</v>
      </c>
      <c r="EW6" s="9">
        <v>3012</v>
      </c>
      <c r="EX6" s="9">
        <v>3069</v>
      </c>
      <c r="EY6" s="9">
        <v>3097</v>
      </c>
      <c r="EZ6" s="9">
        <v>3130</v>
      </c>
      <c r="FA6" s="9">
        <v>3152</v>
      </c>
      <c r="FB6" s="13">
        <v>3146</v>
      </c>
      <c r="FC6" s="9">
        <v>3169</v>
      </c>
      <c r="FD6" s="36">
        <v>3156</v>
      </c>
      <c r="FE6" s="33">
        <v>3166</v>
      </c>
      <c r="FF6" s="33">
        <v>3085</v>
      </c>
      <c r="FG6" s="36">
        <v>3072</v>
      </c>
      <c r="FH6" s="36">
        <v>3035</v>
      </c>
      <c r="FI6" s="36">
        <v>3094</v>
      </c>
      <c r="FJ6" s="36">
        <v>3097</v>
      </c>
      <c r="FK6" s="36">
        <v>3069</v>
      </c>
      <c r="FL6" s="1">
        <v>3001</v>
      </c>
      <c r="FM6" s="1">
        <v>3023</v>
      </c>
      <c r="FN6" s="6">
        <v>3028</v>
      </c>
      <c r="FO6" s="1">
        <v>3097</v>
      </c>
      <c r="FP6" s="1">
        <v>3110</v>
      </c>
      <c r="FQ6" s="1">
        <v>3060</v>
      </c>
      <c r="FR6" s="1">
        <v>2973</v>
      </c>
      <c r="FS6" s="1">
        <v>2881</v>
      </c>
      <c r="FT6" s="1">
        <v>2746</v>
      </c>
      <c r="FU6" s="1">
        <v>2774</v>
      </c>
      <c r="FV6" s="1">
        <v>2783</v>
      </c>
      <c r="FW6" s="1">
        <v>2798</v>
      </c>
      <c r="FX6" s="1">
        <v>2804</v>
      </c>
      <c r="FY6" s="1">
        <v>2793</v>
      </c>
      <c r="FZ6" s="1">
        <v>2792</v>
      </c>
      <c r="GA6" s="48">
        <v>2759</v>
      </c>
      <c r="GB6" s="1">
        <v>2682</v>
      </c>
      <c r="GC6" s="1">
        <v>2665</v>
      </c>
      <c r="GD6" s="1">
        <v>2626</v>
      </c>
      <c r="GE6" s="1">
        <v>2608</v>
      </c>
      <c r="GF6" s="1">
        <v>2560</v>
      </c>
      <c r="GG6" s="1">
        <v>2585</v>
      </c>
      <c r="GH6" s="1">
        <v>2537</v>
      </c>
      <c r="GI6" s="1">
        <v>2574</v>
      </c>
      <c r="GJ6" s="1">
        <v>2611</v>
      </c>
      <c r="GK6" s="1">
        <v>2656</v>
      </c>
      <c r="GL6" s="1">
        <v>2696</v>
      </c>
      <c r="GM6" s="48">
        <v>2685</v>
      </c>
      <c r="GN6" s="1">
        <v>2631</v>
      </c>
      <c r="GO6" s="1">
        <v>2884</v>
      </c>
      <c r="GP6" s="1">
        <v>3122</v>
      </c>
      <c r="GQ6" s="1">
        <v>3219</v>
      </c>
      <c r="GR6" s="1">
        <v>3386</v>
      </c>
      <c r="GS6" s="1">
        <v>3522</v>
      </c>
      <c r="GT6" s="1">
        <v>3577</v>
      </c>
      <c r="GU6" s="1">
        <v>3574</v>
      </c>
      <c r="GV6" s="1">
        <v>3607</v>
      </c>
      <c r="GW6" s="1">
        <v>3692</v>
      </c>
      <c r="GX6" s="6">
        <v>3776</v>
      </c>
      <c r="GY6" s="1">
        <v>3813</v>
      </c>
      <c r="GZ6" s="1">
        <v>3799</v>
      </c>
      <c r="HA6" s="1">
        <v>3807</v>
      </c>
      <c r="HB6" s="1">
        <v>3772</v>
      </c>
      <c r="HC6" s="1">
        <v>3753</v>
      </c>
      <c r="HD6" s="1">
        <v>3678</v>
      </c>
      <c r="HE6" s="1">
        <v>3590</v>
      </c>
      <c r="HF6" s="1">
        <v>3506</v>
      </c>
      <c r="HG6" s="1">
        <v>3415</v>
      </c>
      <c r="HH6" s="1">
        <v>3345</v>
      </c>
      <c r="HI6" s="1">
        <v>3408</v>
      </c>
      <c r="HJ6" s="1">
        <v>3337</v>
      </c>
      <c r="HK6" s="48">
        <v>3286</v>
      </c>
      <c r="HL6" s="1">
        <v>3245</v>
      </c>
      <c r="HM6" s="1">
        <v>3144</v>
      </c>
      <c r="HN6" s="1">
        <v>3008</v>
      </c>
      <c r="HO6" s="1">
        <v>2937</v>
      </c>
      <c r="HP6" s="1">
        <v>2828</v>
      </c>
      <c r="HQ6" s="1">
        <v>2753</v>
      </c>
      <c r="HR6" s="1">
        <v>2704</v>
      </c>
      <c r="HS6" s="1">
        <v>2616</v>
      </c>
      <c r="HT6" s="1">
        <v>2569</v>
      </c>
      <c r="HU6" s="1">
        <v>2547</v>
      </c>
      <c r="HV6" s="1">
        <v>2500</v>
      </c>
      <c r="HW6" s="48">
        <v>2497</v>
      </c>
      <c r="HX6" s="1">
        <v>2511</v>
      </c>
      <c r="HY6" s="1">
        <v>2462</v>
      </c>
      <c r="HZ6" s="1">
        <v>2367</v>
      </c>
      <c r="IA6" s="1">
        <v>2303</v>
      </c>
      <c r="IB6" s="1">
        <v>2300</v>
      </c>
      <c r="IC6" s="1">
        <v>2337</v>
      </c>
      <c r="ID6" s="1">
        <v>2328</v>
      </c>
      <c r="IE6" s="1">
        <v>2310</v>
      </c>
      <c r="IF6" s="1">
        <v>2319</v>
      </c>
      <c r="IG6" s="1">
        <v>2426</v>
      </c>
      <c r="IH6" s="1">
        <v>2445</v>
      </c>
      <c r="II6" s="48">
        <v>2491</v>
      </c>
      <c r="IJ6" s="1">
        <v>2517</v>
      </c>
      <c r="IK6" s="1">
        <v>2535</v>
      </c>
      <c r="IL6" s="1">
        <v>2554</v>
      </c>
      <c r="IM6" s="1">
        <v>2543</v>
      </c>
      <c r="IN6" s="1">
        <v>2548</v>
      </c>
      <c r="IO6" s="1">
        <v>2667</v>
      </c>
      <c r="IP6" s="1">
        <v>2658</v>
      </c>
      <c r="IQ6" s="1">
        <v>2744</v>
      </c>
      <c r="IR6" s="1">
        <v>2809</v>
      </c>
      <c r="IS6" s="1">
        <v>2941</v>
      </c>
      <c r="IT6" s="6">
        <v>3013</v>
      </c>
      <c r="IU6" s="1">
        <v>3131</v>
      </c>
      <c r="IV6" s="1">
        <v>3179</v>
      </c>
      <c r="IW6" s="1">
        <v>3240</v>
      </c>
      <c r="IX6" s="1">
        <v>3253</v>
      </c>
      <c r="IY6" s="1">
        <v>3242</v>
      </c>
      <c r="IZ6" s="1">
        <v>3325</v>
      </c>
      <c r="JA6" s="1">
        <v>3359</v>
      </c>
      <c r="JB6" s="1">
        <v>3378</v>
      </c>
      <c r="JC6" s="1">
        <v>3419</v>
      </c>
      <c r="JD6" s="1">
        <v>3486</v>
      </c>
      <c r="JE6" s="1">
        <v>3485</v>
      </c>
      <c r="JF6" s="1">
        <v>3483</v>
      </c>
      <c r="JG6" s="48">
        <v>3561</v>
      </c>
      <c r="JH6" s="1">
        <v>3510</v>
      </c>
      <c r="JI6" s="1">
        <v>3505</v>
      </c>
    </row>
    <row r="7" spans="1:269" ht="13.5" x14ac:dyDescent="0.25">
      <c r="A7" s="1" t="s">
        <v>4</v>
      </c>
      <c r="B7" s="1">
        <v>5</v>
      </c>
      <c r="C7" s="9">
        <v>4400</v>
      </c>
      <c r="D7" s="9">
        <v>4401</v>
      </c>
      <c r="E7" s="9">
        <v>4293</v>
      </c>
      <c r="F7" s="9">
        <v>4234</v>
      </c>
      <c r="G7" s="9">
        <v>4103</v>
      </c>
      <c r="H7" s="9">
        <v>4049</v>
      </c>
      <c r="I7" s="9">
        <v>4128</v>
      </c>
      <c r="J7" s="9">
        <v>4246</v>
      </c>
      <c r="K7" s="9">
        <v>4172</v>
      </c>
      <c r="L7" s="9">
        <f>1908+2121</f>
        <v>4029</v>
      </c>
      <c r="M7" s="9">
        <v>4144</v>
      </c>
      <c r="N7" s="13">
        <f>1977+2288</f>
        <v>4265</v>
      </c>
      <c r="O7" s="9">
        <v>4311</v>
      </c>
      <c r="P7" s="9">
        <f>2026+2335</f>
        <v>4361</v>
      </c>
      <c r="Q7" s="9">
        <f>1977+2285</f>
        <v>4262</v>
      </c>
      <c r="R7" s="9">
        <v>4165</v>
      </c>
      <c r="S7" s="9">
        <f>1963+2216</f>
        <v>4179</v>
      </c>
      <c r="T7" s="9">
        <v>4139</v>
      </c>
      <c r="U7" s="9">
        <f>2014+2157</f>
        <v>4171</v>
      </c>
      <c r="V7" s="9">
        <f>2066+2151</f>
        <v>4217</v>
      </c>
      <c r="W7" s="9">
        <f>2075+2137</f>
        <v>4212</v>
      </c>
      <c r="X7" s="9">
        <f>2047+2154</f>
        <v>4201</v>
      </c>
      <c r="Y7" s="9">
        <f>2026+2175</f>
        <v>4201</v>
      </c>
      <c r="Z7" s="13">
        <v>4212</v>
      </c>
      <c r="AA7" s="9">
        <f>1995+2230</f>
        <v>4225</v>
      </c>
      <c r="AB7" s="9">
        <v>4158</v>
      </c>
      <c r="AC7" s="9">
        <f>1965+2140</f>
        <v>4105</v>
      </c>
      <c r="AD7" s="9">
        <f>1949+2056</f>
        <v>4005</v>
      </c>
      <c r="AE7" s="9">
        <f>1902+1952</f>
        <v>3854</v>
      </c>
      <c r="AF7" s="9">
        <f>1855+1904</f>
        <v>3759</v>
      </c>
      <c r="AG7" s="9">
        <f>1875+1878</f>
        <v>3753</v>
      </c>
      <c r="AH7" s="9">
        <f>1835+1817</f>
        <v>3652</v>
      </c>
      <c r="AI7" s="9">
        <f>1791+1791</f>
        <v>3582</v>
      </c>
      <c r="AJ7" s="9">
        <f>1737+1747</f>
        <v>3484</v>
      </c>
      <c r="AK7" s="9">
        <v>3393</v>
      </c>
      <c r="AL7" s="13">
        <f>1679+1759</f>
        <v>3438</v>
      </c>
      <c r="AM7" s="9">
        <v>3435</v>
      </c>
      <c r="AN7" s="9">
        <v>3404</v>
      </c>
      <c r="AO7" s="9">
        <v>3301</v>
      </c>
      <c r="AP7" s="9">
        <v>3184</v>
      </c>
      <c r="AQ7" s="9">
        <v>3094</v>
      </c>
      <c r="AR7" s="9">
        <v>3033</v>
      </c>
      <c r="AS7" s="9">
        <v>3004</v>
      </c>
      <c r="AT7" s="9">
        <v>2987</v>
      </c>
      <c r="AU7" s="9">
        <v>2868</v>
      </c>
      <c r="AV7" s="9">
        <v>2822</v>
      </c>
      <c r="AW7" s="9">
        <v>2862</v>
      </c>
      <c r="AX7" s="13">
        <v>2947</v>
      </c>
      <c r="AY7" s="9">
        <v>2942</v>
      </c>
      <c r="AZ7" s="9">
        <v>2831</v>
      </c>
      <c r="BA7" s="9">
        <v>2776</v>
      </c>
      <c r="BB7" s="9">
        <v>2757</v>
      </c>
      <c r="BC7" s="9">
        <v>2616</v>
      </c>
      <c r="BD7" s="9">
        <v>2502</v>
      </c>
      <c r="BE7" s="9">
        <v>2516</v>
      </c>
      <c r="BF7" s="9">
        <v>2444</v>
      </c>
      <c r="BG7" s="9">
        <v>2475</v>
      </c>
      <c r="BH7" s="9">
        <v>2476</v>
      </c>
      <c r="BI7" s="9">
        <v>2580</v>
      </c>
      <c r="BJ7" s="13">
        <v>2837</v>
      </c>
      <c r="BK7" s="9">
        <v>3083</v>
      </c>
      <c r="BL7" s="9">
        <v>3222</v>
      </c>
      <c r="BM7" s="9">
        <v>3432</v>
      </c>
      <c r="BN7" s="9">
        <v>3606</v>
      </c>
      <c r="BO7" s="9">
        <v>3701</v>
      </c>
      <c r="BP7" s="9">
        <v>3962</v>
      </c>
      <c r="BQ7" s="9">
        <v>4122</v>
      </c>
      <c r="BR7" s="9">
        <v>4210</v>
      </c>
      <c r="BS7" s="9">
        <v>4263</v>
      </c>
      <c r="BT7" s="9">
        <v>4294</v>
      </c>
      <c r="BU7" s="9">
        <v>4386</v>
      </c>
      <c r="BV7" s="13">
        <v>4574</v>
      </c>
      <c r="BW7" s="9">
        <v>4536</v>
      </c>
      <c r="BX7" s="9">
        <v>4472</v>
      </c>
      <c r="BY7" s="9">
        <v>4473</v>
      </c>
      <c r="BZ7" s="9">
        <v>4306</v>
      </c>
      <c r="CA7" s="9">
        <v>4201</v>
      </c>
      <c r="CB7" s="9">
        <v>4053</v>
      </c>
      <c r="CC7" s="9">
        <v>4021</v>
      </c>
      <c r="CD7" s="9">
        <v>3980</v>
      </c>
      <c r="CE7" s="9">
        <v>3846</v>
      </c>
      <c r="CF7" s="9">
        <v>3753</v>
      </c>
      <c r="CG7" s="9">
        <v>3693</v>
      </c>
      <c r="CH7" s="13">
        <v>3747</v>
      </c>
      <c r="CI7" s="9">
        <v>3695</v>
      </c>
      <c r="CJ7" s="9">
        <v>3576</v>
      </c>
      <c r="CK7" s="9">
        <v>3455</v>
      </c>
      <c r="CL7" s="9">
        <v>3198</v>
      </c>
      <c r="CM7" s="9">
        <v>2983</v>
      </c>
      <c r="CN7" s="9">
        <v>2933</v>
      </c>
      <c r="CO7" s="9">
        <v>2870</v>
      </c>
      <c r="CP7" s="9">
        <v>2964</v>
      </c>
      <c r="CQ7" s="9">
        <v>2981</v>
      </c>
      <c r="CR7" s="9">
        <v>3017</v>
      </c>
      <c r="CS7" s="9">
        <v>3123</v>
      </c>
      <c r="CT7" s="13">
        <v>3238</v>
      </c>
      <c r="CU7" s="9">
        <v>3283</v>
      </c>
      <c r="CV7" s="9">
        <v>3275</v>
      </c>
      <c r="CW7" s="9">
        <v>3145</v>
      </c>
      <c r="CX7" s="9">
        <v>3113</v>
      </c>
      <c r="CY7" s="9">
        <v>3076</v>
      </c>
      <c r="CZ7" s="9">
        <v>3056</v>
      </c>
      <c r="DA7" s="9">
        <v>3144</v>
      </c>
      <c r="DB7" s="9">
        <v>3218</v>
      </c>
      <c r="DC7" s="9">
        <v>3189</v>
      </c>
      <c r="DD7" s="9">
        <v>3275</v>
      </c>
      <c r="DE7" s="9">
        <v>3444</v>
      </c>
      <c r="DF7" s="13">
        <v>3582</v>
      </c>
      <c r="DG7" s="9">
        <v>3709</v>
      </c>
      <c r="DH7" s="9">
        <v>3707</v>
      </c>
      <c r="DI7" s="9">
        <v>3606</v>
      </c>
      <c r="DJ7" s="9">
        <v>3524</v>
      </c>
      <c r="DK7" s="9">
        <v>3422</v>
      </c>
      <c r="DL7" s="9">
        <v>3339</v>
      </c>
      <c r="DM7" s="9">
        <v>3390</v>
      </c>
      <c r="DN7" s="9">
        <v>3326</v>
      </c>
      <c r="DO7" s="9">
        <v>3268</v>
      </c>
      <c r="DP7" s="9">
        <v>3338</v>
      </c>
      <c r="DQ7" s="9">
        <v>3388</v>
      </c>
      <c r="DR7" s="13">
        <v>3450</v>
      </c>
      <c r="DS7" s="9">
        <v>3426</v>
      </c>
      <c r="DT7" s="9">
        <v>3342</v>
      </c>
      <c r="DU7" s="9">
        <v>3271</v>
      </c>
      <c r="DV7" s="9">
        <v>3216</v>
      </c>
      <c r="DW7" s="9">
        <v>3124</v>
      </c>
      <c r="DX7" s="9">
        <v>3137</v>
      </c>
      <c r="DY7" s="9">
        <v>3177</v>
      </c>
      <c r="DZ7" s="9">
        <v>3060</v>
      </c>
      <c r="EA7" s="9">
        <v>3003</v>
      </c>
      <c r="EB7" s="9">
        <v>2980</v>
      </c>
      <c r="EC7" s="9">
        <v>3028</v>
      </c>
      <c r="ED7" s="13">
        <v>3198</v>
      </c>
      <c r="EE7" s="9">
        <v>3174</v>
      </c>
      <c r="EF7" s="9">
        <v>3144</v>
      </c>
      <c r="EG7" s="9">
        <v>3229</v>
      </c>
      <c r="EH7" s="9">
        <v>3297</v>
      </c>
      <c r="EI7" s="9">
        <v>3257</v>
      </c>
      <c r="EJ7" s="9">
        <v>3337</v>
      </c>
      <c r="EK7" s="9">
        <v>3439</v>
      </c>
      <c r="EL7" s="9">
        <v>3440</v>
      </c>
      <c r="EM7" s="9">
        <v>3412</v>
      </c>
      <c r="EN7" s="9">
        <v>3484</v>
      </c>
      <c r="EO7" s="9">
        <v>3634</v>
      </c>
      <c r="EP7" s="13">
        <v>3814</v>
      </c>
      <c r="EQ7" s="9">
        <v>3798</v>
      </c>
      <c r="ER7" s="9">
        <v>3804</v>
      </c>
      <c r="ES7" s="9">
        <v>3794</v>
      </c>
      <c r="ET7" s="9">
        <v>3781</v>
      </c>
      <c r="EU7" s="9">
        <v>3768</v>
      </c>
      <c r="EV7" s="9">
        <v>3778</v>
      </c>
      <c r="EW7" s="9">
        <v>3748</v>
      </c>
      <c r="EX7" s="9">
        <v>3815</v>
      </c>
      <c r="EY7" s="9">
        <v>3824</v>
      </c>
      <c r="EZ7" s="9">
        <v>3802</v>
      </c>
      <c r="FA7" s="9">
        <v>3854</v>
      </c>
      <c r="FB7" s="13">
        <v>3923</v>
      </c>
      <c r="FC7" s="9">
        <v>3950</v>
      </c>
      <c r="FD7" s="36">
        <v>3900</v>
      </c>
      <c r="FE7" s="33">
        <v>3897</v>
      </c>
      <c r="FF7" s="33">
        <v>3765</v>
      </c>
      <c r="FG7" s="36">
        <v>3687</v>
      </c>
      <c r="FH7" s="36">
        <v>3646</v>
      </c>
      <c r="FI7" s="36">
        <v>3760</v>
      </c>
      <c r="FJ7" s="36">
        <v>3711</v>
      </c>
      <c r="FK7" s="36">
        <v>3701</v>
      </c>
      <c r="FL7" s="1">
        <v>3636</v>
      </c>
      <c r="FM7" s="1">
        <v>3673</v>
      </c>
      <c r="FN7" s="6">
        <v>3673</v>
      </c>
      <c r="FO7" s="1">
        <v>3674</v>
      </c>
      <c r="FP7" s="1">
        <v>3639</v>
      </c>
      <c r="FQ7" s="1">
        <v>3557</v>
      </c>
      <c r="FR7" s="1">
        <v>3457</v>
      </c>
      <c r="FS7" s="1">
        <v>3327</v>
      </c>
      <c r="FT7" s="1">
        <v>3232</v>
      </c>
      <c r="FU7" s="1">
        <v>3252</v>
      </c>
      <c r="FV7" s="1">
        <v>3197</v>
      </c>
      <c r="FW7" s="1">
        <v>3139</v>
      </c>
      <c r="FX7" s="1">
        <v>3133</v>
      </c>
      <c r="FY7" s="1">
        <v>3190</v>
      </c>
      <c r="FZ7" s="1">
        <v>3222</v>
      </c>
      <c r="GA7" s="48">
        <v>3188</v>
      </c>
      <c r="GB7" s="1">
        <v>3104</v>
      </c>
      <c r="GC7" s="1">
        <v>3007</v>
      </c>
      <c r="GD7" s="1">
        <v>2931</v>
      </c>
      <c r="GE7" s="1">
        <v>2859</v>
      </c>
      <c r="GF7" s="1">
        <v>2844</v>
      </c>
      <c r="GG7" s="1">
        <v>2916</v>
      </c>
      <c r="GH7" s="1">
        <v>2843</v>
      </c>
      <c r="GI7" s="1">
        <v>2839</v>
      </c>
      <c r="GJ7" s="1">
        <v>2860</v>
      </c>
      <c r="GK7" s="1">
        <v>2974</v>
      </c>
      <c r="GL7" s="1">
        <v>3077</v>
      </c>
      <c r="GM7" s="48">
        <v>3079</v>
      </c>
      <c r="GN7" s="1">
        <v>3001</v>
      </c>
      <c r="GO7" s="1">
        <v>3383</v>
      </c>
      <c r="GP7" s="1">
        <v>3734</v>
      </c>
      <c r="GQ7" s="1">
        <v>3890</v>
      </c>
      <c r="GR7" s="1">
        <v>4028</v>
      </c>
      <c r="GS7" s="1">
        <v>4205</v>
      </c>
      <c r="GT7" s="1">
        <v>4128</v>
      </c>
      <c r="GU7" s="1">
        <v>4081</v>
      </c>
      <c r="GV7" s="1">
        <v>4124</v>
      </c>
      <c r="GW7" s="1">
        <v>4244</v>
      </c>
      <c r="GX7" s="6">
        <v>4363</v>
      </c>
      <c r="GY7" s="1">
        <v>4330</v>
      </c>
      <c r="GZ7" s="1">
        <v>4316</v>
      </c>
      <c r="HA7" s="1">
        <v>4257</v>
      </c>
      <c r="HB7" s="1">
        <v>4157</v>
      </c>
      <c r="HC7" s="1">
        <v>4069</v>
      </c>
      <c r="HD7" s="1">
        <v>3962</v>
      </c>
      <c r="HE7" s="1">
        <v>3821</v>
      </c>
      <c r="HF7" s="1">
        <v>3674</v>
      </c>
      <c r="HG7" s="1">
        <v>3558</v>
      </c>
      <c r="HH7" s="1">
        <v>3502</v>
      </c>
      <c r="HI7" s="1">
        <v>3583</v>
      </c>
      <c r="HJ7" s="1">
        <v>3563</v>
      </c>
      <c r="HK7" s="48">
        <v>3486</v>
      </c>
      <c r="HL7" s="1">
        <v>3417</v>
      </c>
      <c r="HM7" s="1">
        <v>3320</v>
      </c>
      <c r="HN7" s="1">
        <v>3154</v>
      </c>
      <c r="HO7" s="1">
        <v>3005</v>
      </c>
      <c r="HP7" s="1">
        <v>2916</v>
      </c>
      <c r="HQ7" s="1">
        <v>2883</v>
      </c>
      <c r="HR7" s="1">
        <v>2785</v>
      </c>
      <c r="HS7" s="1">
        <v>2661</v>
      </c>
      <c r="HT7" s="1">
        <v>2656</v>
      </c>
      <c r="HU7" s="1">
        <v>2641</v>
      </c>
      <c r="HV7" s="1">
        <v>2610</v>
      </c>
      <c r="HW7" s="48">
        <v>2571</v>
      </c>
      <c r="HX7" s="1">
        <v>2549</v>
      </c>
      <c r="HY7" s="1">
        <v>2515</v>
      </c>
      <c r="HZ7" s="1">
        <f>1258+1164</f>
        <v>2422</v>
      </c>
      <c r="IA7" s="1">
        <v>2350</v>
      </c>
      <c r="IB7" s="1">
        <v>2326</v>
      </c>
      <c r="IC7" s="1">
        <v>2429</v>
      </c>
      <c r="ID7" s="1">
        <v>2386</v>
      </c>
      <c r="IE7" s="1">
        <v>2329</v>
      </c>
      <c r="IF7" s="1">
        <v>2365</v>
      </c>
      <c r="IG7" s="1">
        <v>2495</v>
      </c>
      <c r="IH7" s="1">
        <v>2530</v>
      </c>
      <c r="II7" s="48">
        <v>2566</v>
      </c>
      <c r="IJ7" s="1">
        <v>2629</v>
      </c>
      <c r="IK7" s="1">
        <v>2584</v>
      </c>
      <c r="IL7" s="1">
        <v>2602</v>
      </c>
      <c r="IM7" s="1">
        <v>2630</v>
      </c>
      <c r="IN7" s="1">
        <v>2660</v>
      </c>
      <c r="IO7" s="1">
        <v>2764</v>
      </c>
      <c r="IP7" s="1">
        <v>2749</v>
      </c>
      <c r="IQ7" s="1">
        <v>2821</v>
      </c>
      <c r="IR7" s="1">
        <v>2933</v>
      </c>
      <c r="IS7" s="1">
        <v>3039</v>
      </c>
      <c r="IT7" s="6">
        <v>3141</v>
      </c>
      <c r="IU7" s="1">
        <v>3231</v>
      </c>
      <c r="IV7" s="1">
        <v>3253</v>
      </c>
      <c r="IW7" s="1">
        <v>3319</v>
      </c>
      <c r="IX7" s="1">
        <v>3296</v>
      </c>
      <c r="IY7" s="1">
        <v>3272</v>
      </c>
      <c r="IZ7" s="1">
        <v>3362</v>
      </c>
      <c r="JA7" s="1">
        <v>3437</v>
      </c>
      <c r="JB7" s="1">
        <v>3487</v>
      </c>
      <c r="JC7" s="1">
        <v>3506</v>
      </c>
      <c r="JD7" s="1">
        <v>3601</v>
      </c>
      <c r="JE7" s="1">
        <v>3634</v>
      </c>
      <c r="JF7" s="1">
        <v>3694</v>
      </c>
      <c r="JG7" s="48">
        <v>3741</v>
      </c>
      <c r="JH7" s="1">
        <v>3695</v>
      </c>
      <c r="JI7" s="1">
        <v>3700</v>
      </c>
    </row>
    <row r="8" spans="1:269" ht="13.5" x14ac:dyDescent="0.25">
      <c r="A8" s="1" t="s">
        <v>5</v>
      </c>
      <c r="B8" s="1">
        <v>6</v>
      </c>
      <c r="C8" s="9">
        <v>3267</v>
      </c>
      <c r="D8" s="9">
        <v>3274</v>
      </c>
      <c r="E8" s="9">
        <v>3224</v>
      </c>
      <c r="F8" s="9">
        <v>3135</v>
      </c>
      <c r="G8" s="9">
        <v>3037</v>
      </c>
      <c r="H8" s="9">
        <v>2961</v>
      </c>
      <c r="I8" s="9">
        <v>2901</v>
      </c>
      <c r="J8" s="9">
        <v>2967</v>
      </c>
      <c r="K8" s="9">
        <v>2941</v>
      </c>
      <c r="L8" s="9">
        <f>1252+1630</f>
        <v>2882</v>
      </c>
      <c r="M8" s="9">
        <v>2957</v>
      </c>
      <c r="N8" s="13">
        <f>1265+1753</f>
        <v>3018</v>
      </c>
      <c r="O8" s="9">
        <v>3006</v>
      </c>
      <c r="P8" s="9">
        <v>3037</v>
      </c>
      <c r="Q8" s="9">
        <f>1259+1714</f>
        <v>2973</v>
      </c>
      <c r="R8" s="9">
        <v>2898</v>
      </c>
      <c r="S8" s="9">
        <v>2863</v>
      </c>
      <c r="T8" s="9">
        <v>2818</v>
      </c>
      <c r="U8" s="9">
        <f>1210+1570</f>
        <v>2780</v>
      </c>
      <c r="V8" s="9">
        <f>1225+1556</f>
        <v>2781</v>
      </c>
      <c r="W8" s="9">
        <f>1218+1519</f>
        <v>2737</v>
      </c>
      <c r="X8" s="9">
        <f>1210+1543</f>
        <v>2753</v>
      </c>
      <c r="Y8" s="9">
        <f>1222+1589</f>
        <v>2811</v>
      </c>
      <c r="Z8" s="13">
        <v>2828</v>
      </c>
      <c r="AA8" s="9">
        <f>1200+1650</f>
        <v>2850</v>
      </c>
      <c r="AB8" s="9">
        <v>2795</v>
      </c>
      <c r="AC8" s="9">
        <f>1191+1586</f>
        <v>2777</v>
      </c>
      <c r="AD8" s="9">
        <f>1156+1496</f>
        <v>2652</v>
      </c>
      <c r="AE8" s="9">
        <f>1118+1424</f>
        <v>2542</v>
      </c>
      <c r="AF8" s="9">
        <f>1109+1375</f>
        <v>2484</v>
      </c>
      <c r="AG8" s="9">
        <f>1099+1339</f>
        <v>2438</v>
      </c>
      <c r="AH8" s="9">
        <f>1147+1339</f>
        <v>2486</v>
      </c>
      <c r="AI8" s="9">
        <f>1132+1327</f>
        <v>2459</v>
      </c>
      <c r="AJ8" s="9">
        <f>1105+1312</f>
        <v>2417</v>
      </c>
      <c r="AK8" s="9">
        <v>2451</v>
      </c>
      <c r="AL8" s="13">
        <f>1117+1382</f>
        <v>2499</v>
      </c>
      <c r="AM8" s="9">
        <v>2505</v>
      </c>
      <c r="AN8" s="9">
        <v>2502</v>
      </c>
      <c r="AO8" s="9">
        <v>2450</v>
      </c>
      <c r="AP8" s="9">
        <v>2381</v>
      </c>
      <c r="AQ8" s="9">
        <v>2356</v>
      </c>
      <c r="AR8" s="9">
        <v>2287</v>
      </c>
      <c r="AS8" s="9">
        <v>2321</v>
      </c>
      <c r="AT8" s="9">
        <v>2322</v>
      </c>
      <c r="AU8" s="9">
        <v>2270</v>
      </c>
      <c r="AV8" s="9">
        <v>2236</v>
      </c>
      <c r="AW8" s="9">
        <v>2269</v>
      </c>
      <c r="AX8" s="13">
        <v>2316</v>
      </c>
      <c r="AY8" s="9">
        <v>2389</v>
      </c>
      <c r="AZ8" s="9">
        <v>2287</v>
      </c>
      <c r="BA8" s="9">
        <v>2250</v>
      </c>
      <c r="BB8" s="9">
        <v>2232</v>
      </c>
      <c r="BC8" s="9">
        <v>2112</v>
      </c>
      <c r="BD8" s="9">
        <v>2052</v>
      </c>
      <c r="BE8" s="9">
        <v>2050</v>
      </c>
      <c r="BF8" s="9">
        <v>2099</v>
      </c>
      <c r="BG8" s="9">
        <v>2142</v>
      </c>
      <c r="BH8" s="9">
        <v>2204</v>
      </c>
      <c r="BI8" s="9">
        <v>2324</v>
      </c>
      <c r="BJ8" s="13">
        <v>2518</v>
      </c>
      <c r="BK8" s="9">
        <v>2679</v>
      </c>
      <c r="BL8" s="9">
        <v>2803</v>
      </c>
      <c r="BM8" s="9">
        <v>2920</v>
      </c>
      <c r="BN8" s="9">
        <v>2942</v>
      </c>
      <c r="BO8" s="9">
        <v>2980</v>
      </c>
      <c r="BP8" s="9">
        <v>3153</v>
      </c>
      <c r="BQ8" s="9">
        <v>3216</v>
      </c>
      <c r="BR8" s="9">
        <v>3256</v>
      </c>
      <c r="BS8" s="9">
        <v>3324</v>
      </c>
      <c r="BT8" s="9">
        <v>3377</v>
      </c>
      <c r="BU8" s="9">
        <v>3462</v>
      </c>
      <c r="BV8" s="13">
        <v>3629</v>
      </c>
      <c r="BW8" s="9">
        <v>3650</v>
      </c>
      <c r="BX8" s="9">
        <v>3643</v>
      </c>
      <c r="BY8" s="9">
        <v>3581</v>
      </c>
      <c r="BZ8" s="9">
        <v>3405</v>
      </c>
      <c r="CA8" s="9">
        <v>3256</v>
      </c>
      <c r="CB8" s="9">
        <v>3169</v>
      </c>
      <c r="CC8" s="9">
        <v>3112</v>
      </c>
      <c r="CD8" s="9">
        <v>3071</v>
      </c>
      <c r="CE8" s="9">
        <v>2962</v>
      </c>
      <c r="CF8" s="9">
        <v>2955</v>
      </c>
      <c r="CG8" s="9">
        <v>2902</v>
      </c>
      <c r="CH8" s="13">
        <v>2946</v>
      </c>
      <c r="CI8" s="9">
        <v>2892</v>
      </c>
      <c r="CJ8" s="9">
        <v>2773</v>
      </c>
      <c r="CK8" s="9">
        <v>2681</v>
      </c>
      <c r="CL8" s="9">
        <v>2413</v>
      </c>
      <c r="CM8" s="9">
        <v>2268</v>
      </c>
      <c r="CN8" s="9">
        <v>2229</v>
      </c>
      <c r="CO8" s="9">
        <v>2097</v>
      </c>
      <c r="CP8" s="9">
        <v>2117</v>
      </c>
      <c r="CQ8" s="9">
        <v>2085</v>
      </c>
      <c r="CR8" s="9">
        <v>2093</v>
      </c>
      <c r="CS8" s="9">
        <v>2261</v>
      </c>
      <c r="CT8" s="13">
        <v>2400</v>
      </c>
      <c r="CU8" s="9">
        <v>2425</v>
      </c>
      <c r="CV8" s="9">
        <v>2440</v>
      </c>
      <c r="CW8" s="9">
        <v>2371</v>
      </c>
      <c r="CX8" s="9">
        <v>2332</v>
      </c>
      <c r="CY8" s="9">
        <v>2268</v>
      </c>
      <c r="CZ8" s="9">
        <v>2243</v>
      </c>
      <c r="DA8" s="9">
        <v>2208</v>
      </c>
      <c r="DB8" s="9">
        <v>2255</v>
      </c>
      <c r="DC8" s="9">
        <v>2289</v>
      </c>
      <c r="DD8" s="9">
        <v>2381</v>
      </c>
      <c r="DE8" s="9">
        <v>2554</v>
      </c>
      <c r="DF8" s="13">
        <v>2728</v>
      </c>
      <c r="DG8" s="9">
        <v>2811</v>
      </c>
      <c r="DH8" s="9">
        <v>2777</v>
      </c>
      <c r="DI8" s="9">
        <v>2689</v>
      </c>
      <c r="DJ8" s="9">
        <v>2628</v>
      </c>
      <c r="DK8" s="9">
        <v>2557</v>
      </c>
      <c r="DL8" s="9">
        <v>2530</v>
      </c>
      <c r="DM8" s="9">
        <v>2513</v>
      </c>
      <c r="DN8" s="9">
        <v>2500</v>
      </c>
      <c r="DO8" s="9">
        <v>2467</v>
      </c>
      <c r="DP8" s="9">
        <v>2559</v>
      </c>
      <c r="DQ8" s="9">
        <v>2676</v>
      </c>
      <c r="DR8" s="13">
        <v>2745</v>
      </c>
      <c r="DS8" s="9">
        <v>2728</v>
      </c>
      <c r="DT8" s="9">
        <v>2718</v>
      </c>
      <c r="DU8" s="9">
        <v>2652</v>
      </c>
      <c r="DV8" s="9">
        <v>2556</v>
      </c>
      <c r="DW8" s="9">
        <v>2478</v>
      </c>
      <c r="DX8" s="9">
        <v>2402</v>
      </c>
      <c r="DY8" s="9">
        <v>2334</v>
      </c>
      <c r="DZ8" s="9">
        <v>2280</v>
      </c>
      <c r="EA8" s="9">
        <v>2287</v>
      </c>
      <c r="EB8" s="9">
        <v>2302</v>
      </c>
      <c r="EC8" s="9">
        <v>2409</v>
      </c>
      <c r="ED8" s="13">
        <v>2525</v>
      </c>
      <c r="EE8" s="9">
        <v>2552</v>
      </c>
      <c r="EF8" s="9">
        <v>2628</v>
      </c>
      <c r="EG8" s="9">
        <v>2649</v>
      </c>
      <c r="EH8" s="9">
        <v>2600</v>
      </c>
      <c r="EI8" s="9">
        <v>2527</v>
      </c>
      <c r="EJ8" s="9">
        <v>2538</v>
      </c>
      <c r="EK8" s="9">
        <v>2610</v>
      </c>
      <c r="EL8" s="9">
        <v>2640</v>
      </c>
      <c r="EM8" s="9">
        <v>2729</v>
      </c>
      <c r="EN8" s="9">
        <v>2801</v>
      </c>
      <c r="EO8" s="9">
        <v>3041</v>
      </c>
      <c r="EP8" s="13">
        <v>3157</v>
      </c>
      <c r="EQ8" s="9">
        <v>3156</v>
      </c>
      <c r="ER8" s="9">
        <v>3198</v>
      </c>
      <c r="ES8" s="9">
        <v>3121</v>
      </c>
      <c r="ET8" s="9">
        <v>3017</v>
      </c>
      <c r="EU8" s="9">
        <v>2959</v>
      </c>
      <c r="EV8" s="9">
        <v>2894</v>
      </c>
      <c r="EW8" s="9">
        <v>2866</v>
      </c>
      <c r="EX8" s="9">
        <v>2929</v>
      </c>
      <c r="EY8" s="9">
        <v>2988</v>
      </c>
      <c r="EZ8" s="9">
        <v>3081</v>
      </c>
      <c r="FA8" s="9">
        <v>3245</v>
      </c>
      <c r="FB8" s="13">
        <v>3349</v>
      </c>
      <c r="FC8" s="9">
        <v>3359</v>
      </c>
      <c r="FD8" s="36">
        <v>3360</v>
      </c>
      <c r="FE8" s="33">
        <v>3280</v>
      </c>
      <c r="FF8" s="33">
        <v>3155</v>
      </c>
      <c r="FG8" s="36">
        <v>3119</v>
      </c>
      <c r="FH8" s="36">
        <v>3024</v>
      </c>
      <c r="FI8" s="36">
        <v>2986</v>
      </c>
      <c r="FJ8" s="36">
        <v>2946</v>
      </c>
      <c r="FK8" s="36">
        <v>2927</v>
      </c>
      <c r="FL8" s="1">
        <v>2924</v>
      </c>
      <c r="FM8" s="1">
        <v>3068</v>
      </c>
      <c r="FN8" s="6">
        <v>3174</v>
      </c>
      <c r="FO8" s="1">
        <v>3171</v>
      </c>
      <c r="FP8" s="1">
        <v>3120</v>
      </c>
      <c r="FQ8" s="1">
        <v>3107</v>
      </c>
      <c r="FR8" s="1">
        <v>2967</v>
      </c>
      <c r="FS8" s="1">
        <v>2827</v>
      </c>
      <c r="FT8" s="1">
        <v>2632</v>
      </c>
      <c r="FU8" s="1">
        <v>2628</v>
      </c>
      <c r="FV8" s="1">
        <v>2632</v>
      </c>
      <c r="FW8" s="1">
        <v>2639</v>
      </c>
      <c r="FX8" s="1">
        <v>2692</v>
      </c>
      <c r="FY8" s="1">
        <v>2822</v>
      </c>
      <c r="FZ8" s="1">
        <v>2908</v>
      </c>
      <c r="GA8" s="48">
        <v>2919</v>
      </c>
      <c r="GB8" s="1">
        <v>2880</v>
      </c>
      <c r="GC8" s="1">
        <v>2879</v>
      </c>
      <c r="GD8" s="1">
        <v>2784</v>
      </c>
      <c r="GE8" s="1">
        <v>2721</v>
      </c>
      <c r="GF8" s="1">
        <v>2631</v>
      </c>
      <c r="GG8" s="1">
        <v>2584</v>
      </c>
      <c r="GH8" s="1">
        <v>2547</v>
      </c>
      <c r="GI8" s="1">
        <v>2622</v>
      </c>
      <c r="GJ8" s="1">
        <v>2751</v>
      </c>
      <c r="GK8" s="1">
        <v>2869</v>
      </c>
      <c r="GL8" s="1">
        <v>2982</v>
      </c>
      <c r="GM8" s="48">
        <v>3014</v>
      </c>
      <c r="GN8" s="1">
        <v>2943</v>
      </c>
      <c r="GO8" s="1">
        <v>3149</v>
      </c>
      <c r="GP8" s="1">
        <v>3315</v>
      </c>
      <c r="GQ8" s="1">
        <v>3361</v>
      </c>
      <c r="GR8" s="1">
        <v>3457</v>
      </c>
      <c r="GS8" s="1">
        <v>3582</v>
      </c>
      <c r="GT8" s="1">
        <v>3695</v>
      </c>
      <c r="GU8" s="1">
        <v>3759</v>
      </c>
      <c r="GV8" s="1">
        <v>3823</v>
      </c>
      <c r="GW8" s="1">
        <v>4018</v>
      </c>
      <c r="GX8" s="6">
        <v>4196</v>
      </c>
      <c r="GY8" s="1">
        <v>4244</v>
      </c>
      <c r="GZ8" s="1">
        <v>4210</v>
      </c>
      <c r="HA8" s="1">
        <v>4187</v>
      </c>
      <c r="HB8" s="1">
        <v>4113</v>
      </c>
      <c r="HC8" s="1">
        <v>4050</v>
      </c>
      <c r="HD8" s="1">
        <v>3936</v>
      </c>
      <c r="HE8" s="1">
        <v>3861</v>
      </c>
      <c r="HF8" s="1">
        <v>3773</v>
      </c>
      <c r="HG8" s="1">
        <v>3712</v>
      </c>
      <c r="HH8" s="1">
        <v>3631</v>
      </c>
      <c r="HI8" s="1">
        <v>3710</v>
      </c>
      <c r="HJ8" s="1">
        <v>3775</v>
      </c>
      <c r="HK8" s="48">
        <v>3722</v>
      </c>
      <c r="HL8" s="1">
        <v>3702</v>
      </c>
      <c r="HM8" s="1">
        <v>3578</v>
      </c>
      <c r="HN8" s="1">
        <v>3382</v>
      </c>
      <c r="HO8" s="1">
        <v>3256</v>
      </c>
      <c r="HP8" s="1">
        <v>3099</v>
      </c>
      <c r="HQ8" s="1">
        <v>2960</v>
      </c>
      <c r="HR8" s="1">
        <v>2872</v>
      </c>
      <c r="HS8" s="1">
        <v>2761</v>
      </c>
      <c r="HT8" s="1">
        <v>2737</v>
      </c>
      <c r="HU8" s="1">
        <v>2806</v>
      </c>
      <c r="HV8" s="1">
        <v>2856</v>
      </c>
      <c r="HW8" s="48">
        <v>2871</v>
      </c>
      <c r="HX8" s="1">
        <v>2898</v>
      </c>
      <c r="HY8" s="1">
        <v>2800</v>
      </c>
      <c r="HZ8" s="1">
        <f>1109+1579</f>
        <v>2688</v>
      </c>
      <c r="IA8" s="1">
        <v>2651</v>
      </c>
      <c r="IB8" s="1">
        <v>2594</v>
      </c>
      <c r="IC8" s="1">
        <v>2579</v>
      </c>
      <c r="ID8" s="1">
        <v>2612</v>
      </c>
      <c r="IE8" s="1">
        <v>2607</v>
      </c>
      <c r="IF8" s="1">
        <v>2725</v>
      </c>
      <c r="IG8" s="1">
        <v>2913</v>
      </c>
      <c r="IH8" s="1">
        <v>3001</v>
      </c>
      <c r="II8" s="48">
        <v>3125</v>
      </c>
      <c r="IJ8" s="1">
        <v>3111</v>
      </c>
      <c r="IK8" s="1">
        <v>3143</v>
      </c>
      <c r="IL8" s="1">
        <v>3162</v>
      </c>
      <c r="IM8" s="1">
        <v>3165</v>
      </c>
      <c r="IN8" s="1">
        <v>3201</v>
      </c>
      <c r="IO8" s="1">
        <v>3271</v>
      </c>
      <c r="IP8" s="1">
        <v>3260</v>
      </c>
      <c r="IQ8" s="1">
        <v>3352</v>
      </c>
      <c r="IR8" s="1">
        <v>3472</v>
      </c>
      <c r="IS8" s="1">
        <v>3699</v>
      </c>
      <c r="IT8" s="6">
        <v>3904</v>
      </c>
      <c r="IU8" s="1">
        <v>4038</v>
      </c>
      <c r="IV8" s="1">
        <v>4079</v>
      </c>
      <c r="IW8" s="1">
        <v>4063</v>
      </c>
      <c r="IX8" s="1">
        <v>4000</v>
      </c>
      <c r="IY8" s="1">
        <v>3921</v>
      </c>
      <c r="IZ8" s="1">
        <v>4001</v>
      </c>
      <c r="JA8" s="1">
        <v>4033</v>
      </c>
      <c r="JB8" s="1">
        <v>3974</v>
      </c>
      <c r="JC8" s="1">
        <v>3989</v>
      </c>
      <c r="JD8" s="1">
        <v>4119</v>
      </c>
      <c r="JE8" s="1">
        <v>4221</v>
      </c>
      <c r="JF8" s="1">
        <v>4293</v>
      </c>
      <c r="JG8" s="48">
        <v>4378</v>
      </c>
      <c r="JH8" s="1">
        <v>4296</v>
      </c>
      <c r="JI8" s="1">
        <v>4215</v>
      </c>
    </row>
    <row r="9" spans="1:269" s="4" customFormat="1" ht="14.25" x14ac:dyDescent="0.25">
      <c r="A9" s="4" t="s">
        <v>45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4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4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4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4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4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4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4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4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4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4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4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4"/>
      <c r="FC9" s="10"/>
      <c r="FD9" s="40"/>
      <c r="FE9" s="33"/>
      <c r="FF9" s="41"/>
      <c r="FG9" s="40"/>
      <c r="FH9" s="40"/>
      <c r="FI9" s="40"/>
      <c r="FJ9" s="40"/>
      <c r="FK9" s="40"/>
      <c r="FN9" s="47"/>
      <c r="GA9" s="50"/>
      <c r="GM9" s="50"/>
      <c r="GX9" s="6"/>
      <c r="HK9" s="50"/>
      <c r="HW9" s="50"/>
      <c r="II9" s="50"/>
      <c r="IT9" s="47"/>
      <c r="JG9" s="50"/>
    </row>
    <row r="10" spans="1:269" ht="13.5" x14ac:dyDescent="0.25">
      <c r="A10" s="1" t="s">
        <v>35</v>
      </c>
      <c r="B10" s="1">
        <v>7</v>
      </c>
      <c r="C10" s="9">
        <v>585</v>
      </c>
      <c r="D10" s="9">
        <v>564</v>
      </c>
      <c r="E10" s="9">
        <v>534</v>
      </c>
      <c r="F10" s="9">
        <v>506</v>
      </c>
      <c r="G10" s="9">
        <v>461</v>
      </c>
      <c r="H10" s="9">
        <v>475</v>
      </c>
      <c r="I10" s="9">
        <v>547</v>
      </c>
      <c r="J10" s="9">
        <v>725</v>
      </c>
      <c r="K10" s="9">
        <v>689</v>
      </c>
      <c r="L10" s="9">
        <f>333+296</f>
        <v>629</v>
      </c>
      <c r="M10" s="9">
        <v>609</v>
      </c>
      <c r="N10" s="13">
        <f>298+285</f>
        <v>583</v>
      </c>
      <c r="O10" s="9">
        <f>296+272</f>
        <v>568</v>
      </c>
      <c r="P10" s="9">
        <f>296+280</f>
        <v>576</v>
      </c>
      <c r="Q10" s="9">
        <f>[4]Alter!Q35</f>
        <v>534</v>
      </c>
      <c r="R10" s="9">
        <f>241+255</f>
        <v>496</v>
      </c>
      <c r="S10" s="9">
        <v>483</v>
      </c>
      <c r="T10" s="9">
        <v>468</v>
      </c>
      <c r="U10" s="9">
        <f>272+281</f>
        <v>553</v>
      </c>
      <c r="V10" s="9">
        <v>685</v>
      </c>
      <c r="W10" s="9">
        <v>616</v>
      </c>
      <c r="X10" s="9">
        <f>279+305</f>
        <v>584</v>
      </c>
      <c r="Y10" s="9">
        <v>562</v>
      </c>
      <c r="Z10" s="13">
        <v>551</v>
      </c>
      <c r="AA10" s="9">
        <v>539</v>
      </c>
      <c r="AB10" s="9">
        <v>511</v>
      </c>
      <c r="AC10" s="9">
        <v>506</v>
      </c>
      <c r="AD10" s="9">
        <v>496</v>
      </c>
      <c r="AE10" s="9">
        <v>458</v>
      </c>
      <c r="AF10" s="9">
        <v>427</v>
      </c>
      <c r="AG10" s="9">
        <v>537</v>
      </c>
      <c r="AH10" s="9">
        <v>590</v>
      </c>
      <c r="AI10" s="9">
        <v>564</v>
      </c>
      <c r="AJ10" s="9">
        <v>534</v>
      </c>
      <c r="AK10" s="9">
        <v>523</v>
      </c>
      <c r="AL10" s="13">
        <v>508</v>
      </c>
      <c r="AM10" s="9">
        <v>501</v>
      </c>
      <c r="AN10" s="9">
        <v>501</v>
      </c>
      <c r="AO10" s="9">
        <v>471</v>
      </c>
      <c r="AP10" s="9">
        <v>427</v>
      </c>
      <c r="AQ10" s="9">
        <v>411</v>
      </c>
      <c r="AR10" s="9">
        <v>389</v>
      </c>
      <c r="AS10" s="9">
        <v>466</v>
      </c>
      <c r="AT10" s="9">
        <v>504</v>
      </c>
      <c r="AU10" s="9">
        <v>462</v>
      </c>
      <c r="AV10" s="9">
        <v>439</v>
      </c>
      <c r="AW10" s="9">
        <v>430</v>
      </c>
      <c r="AX10" s="13">
        <v>432</v>
      </c>
      <c r="AY10" s="9">
        <v>447</v>
      </c>
      <c r="AZ10" s="9">
        <v>437</v>
      </c>
      <c r="BA10" s="9">
        <v>411</v>
      </c>
      <c r="BB10" s="9">
        <v>415</v>
      </c>
      <c r="BC10" s="9">
        <v>364</v>
      </c>
      <c r="BD10" s="9">
        <v>340</v>
      </c>
      <c r="BE10" s="9">
        <v>460</v>
      </c>
      <c r="BF10" s="9">
        <v>509</v>
      </c>
      <c r="BG10" s="9">
        <v>430</v>
      </c>
      <c r="BH10" s="9">
        <v>411</v>
      </c>
      <c r="BI10" s="9">
        <v>415</v>
      </c>
      <c r="BJ10" s="13">
        <v>416</v>
      </c>
      <c r="BK10" s="9">
        <v>439</v>
      </c>
      <c r="BL10" s="9">
        <v>459</v>
      </c>
      <c r="BM10" s="9">
        <v>461</v>
      </c>
      <c r="BN10" s="9">
        <v>430</v>
      </c>
      <c r="BO10" s="9">
        <v>397</v>
      </c>
      <c r="BP10" s="9">
        <v>436</v>
      </c>
      <c r="BQ10" s="9">
        <v>559</v>
      </c>
      <c r="BR10" s="9">
        <v>604</v>
      </c>
      <c r="BS10" s="9">
        <v>546</v>
      </c>
      <c r="BT10" s="9">
        <v>502</v>
      </c>
      <c r="BU10" s="9">
        <v>500</v>
      </c>
      <c r="BV10" s="13">
        <v>495</v>
      </c>
      <c r="BW10" s="9">
        <v>488</v>
      </c>
      <c r="BX10" s="9">
        <v>482</v>
      </c>
      <c r="BY10" s="9">
        <v>446</v>
      </c>
      <c r="BZ10" s="9">
        <v>404</v>
      </c>
      <c r="CA10" s="9">
        <v>370</v>
      </c>
      <c r="CB10" s="9">
        <v>362</v>
      </c>
      <c r="CC10" s="9">
        <v>476</v>
      </c>
      <c r="CD10" s="9">
        <v>462</v>
      </c>
      <c r="CE10" s="9">
        <v>416</v>
      </c>
      <c r="CF10" s="9">
        <v>420</v>
      </c>
      <c r="CG10" s="9">
        <v>383</v>
      </c>
      <c r="CH10" s="13">
        <v>370</v>
      </c>
      <c r="CI10" s="9">
        <v>353</v>
      </c>
      <c r="CJ10" s="9">
        <v>329</v>
      </c>
      <c r="CK10" s="9">
        <v>316</v>
      </c>
      <c r="CL10" s="9">
        <v>292</v>
      </c>
      <c r="CM10" s="9">
        <v>253</v>
      </c>
      <c r="CN10" s="9">
        <v>253</v>
      </c>
      <c r="CO10" s="9">
        <v>278</v>
      </c>
      <c r="CP10" s="9">
        <v>335</v>
      </c>
      <c r="CQ10" s="9">
        <v>297</v>
      </c>
      <c r="CR10" s="9">
        <v>283</v>
      </c>
      <c r="CS10" s="9">
        <v>283</v>
      </c>
      <c r="CT10" s="13">
        <v>287</v>
      </c>
      <c r="CU10" s="9">
        <v>287</v>
      </c>
      <c r="CV10" s="9">
        <v>301</v>
      </c>
      <c r="CW10" s="9">
        <v>264</v>
      </c>
      <c r="CX10" s="9">
        <v>260</v>
      </c>
      <c r="CY10" s="9">
        <v>244</v>
      </c>
      <c r="CZ10" s="9">
        <v>252</v>
      </c>
      <c r="DA10" s="9">
        <v>305</v>
      </c>
      <c r="DB10" s="9">
        <v>362</v>
      </c>
      <c r="DC10" s="9">
        <v>324</v>
      </c>
      <c r="DD10" s="9">
        <v>303</v>
      </c>
      <c r="DE10" s="9">
        <v>309</v>
      </c>
      <c r="DF10" s="13">
        <v>311</v>
      </c>
      <c r="DG10" s="9">
        <v>318</v>
      </c>
      <c r="DH10" s="9">
        <v>298</v>
      </c>
      <c r="DI10" s="9">
        <v>275</v>
      </c>
      <c r="DJ10" s="9">
        <v>264</v>
      </c>
      <c r="DK10" s="9">
        <v>259</v>
      </c>
      <c r="DL10" s="9">
        <v>268</v>
      </c>
      <c r="DM10" s="9">
        <v>338</v>
      </c>
      <c r="DN10" s="9">
        <v>370</v>
      </c>
      <c r="DO10" s="9">
        <v>343</v>
      </c>
      <c r="DP10" s="9">
        <v>346</v>
      </c>
      <c r="DQ10" s="9">
        <v>330</v>
      </c>
      <c r="DR10" s="13">
        <v>311</v>
      </c>
      <c r="DS10" s="9">
        <v>299</v>
      </c>
      <c r="DT10" s="9">
        <v>291</v>
      </c>
      <c r="DU10" s="9">
        <v>249</v>
      </c>
      <c r="DV10" s="9">
        <v>229</v>
      </c>
      <c r="DW10" s="9">
        <v>212</v>
      </c>
      <c r="DX10" s="9">
        <v>213</v>
      </c>
      <c r="DY10" s="9">
        <v>222</v>
      </c>
      <c r="DZ10" s="9">
        <v>255</v>
      </c>
      <c r="EA10" s="9">
        <v>286</v>
      </c>
      <c r="EB10" s="9">
        <v>265</v>
      </c>
      <c r="EC10" s="9">
        <v>262</v>
      </c>
      <c r="ED10" s="13">
        <v>253</v>
      </c>
      <c r="EE10" s="9">
        <v>245</v>
      </c>
      <c r="EF10" s="9">
        <v>254</v>
      </c>
      <c r="EG10" s="9">
        <v>257</v>
      </c>
      <c r="EH10" s="9">
        <v>254</v>
      </c>
      <c r="EI10" s="9">
        <v>238</v>
      </c>
      <c r="EJ10" s="9">
        <v>239</v>
      </c>
      <c r="EK10" s="9">
        <v>332</v>
      </c>
      <c r="EL10" s="9">
        <v>369</v>
      </c>
      <c r="EM10" s="9">
        <v>361</v>
      </c>
      <c r="EN10" s="9">
        <v>337</v>
      </c>
      <c r="EO10" s="9">
        <v>335</v>
      </c>
      <c r="EP10" s="13">
        <v>341</v>
      </c>
      <c r="EQ10" s="9">
        <v>315</v>
      </c>
      <c r="ER10" s="9">
        <v>294</v>
      </c>
      <c r="ES10" s="9">
        <v>262</v>
      </c>
      <c r="ET10" s="9">
        <v>242</v>
      </c>
      <c r="EU10" s="9">
        <v>228</v>
      </c>
      <c r="EV10" s="9">
        <v>232</v>
      </c>
      <c r="EW10" s="9">
        <v>280</v>
      </c>
      <c r="EX10" s="9">
        <v>332</v>
      </c>
      <c r="EY10" s="9">
        <v>326</v>
      </c>
      <c r="EZ10" s="9">
        <v>314</v>
      </c>
      <c r="FA10" s="9">
        <v>306</v>
      </c>
      <c r="FB10" s="13">
        <v>297</v>
      </c>
      <c r="FC10" s="9">
        <v>296</v>
      </c>
      <c r="FD10" s="36">
        <v>291</v>
      </c>
      <c r="FE10" s="33">
        <v>274</v>
      </c>
      <c r="FF10" s="33">
        <v>246</v>
      </c>
      <c r="FG10" s="36">
        <v>232</v>
      </c>
      <c r="FH10" s="36">
        <v>239</v>
      </c>
      <c r="FI10" s="36">
        <v>333</v>
      </c>
      <c r="FJ10" s="36">
        <v>339</v>
      </c>
      <c r="FK10" s="36">
        <v>317</v>
      </c>
      <c r="FL10" s="1">
        <v>289</v>
      </c>
      <c r="FM10" s="1">
        <v>268</v>
      </c>
      <c r="FN10" s="6">
        <v>254</v>
      </c>
      <c r="FO10" s="1">
        <v>269</v>
      </c>
      <c r="FP10" s="1">
        <v>279</v>
      </c>
      <c r="FQ10" s="1">
        <v>256</v>
      </c>
      <c r="FR10" s="1">
        <v>228</v>
      </c>
      <c r="FS10" s="1">
        <v>204</v>
      </c>
      <c r="FT10" s="1">
        <v>209</v>
      </c>
      <c r="FU10" s="1">
        <v>249</v>
      </c>
      <c r="FV10" s="1">
        <v>302</v>
      </c>
      <c r="FW10" s="1">
        <v>275</v>
      </c>
      <c r="FX10" s="1">
        <v>264</v>
      </c>
      <c r="FY10" s="1">
        <v>275</v>
      </c>
      <c r="FZ10" s="1">
        <v>278</v>
      </c>
      <c r="GA10" s="48">
        <v>272</v>
      </c>
      <c r="GB10" s="1">
        <v>254</v>
      </c>
      <c r="GC10" s="1">
        <v>236</v>
      </c>
      <c r="GD10" s="1">
        <v>208</v>
      </c>
      <c r="GE10" s="1">
        <v>186</v>
      </c>
      <c r="GF10" s="1">
        <v>193</v>
      </c>
      <c r="GG10" s="1">
        <v>247</v>
      </c>
      <c r="GH10" s="1">
        <v>272</v>
      </c>
      <c r="GI10" s="1">
        <v>271</v>
      </c>
      <c r="GJ10" s="1">
        <v>270</v>
      </c>
      <c r="GK10" s="1">
        <v>259</v>
      </c>
      <c r="GL10" s="1">
        <v>250</v>
      </c>
      <c r="GM10" s="48">
        <v>249</v>
      </c>
      <c r="GN10" s="1">
        <v>223</v>
      </c>
      <c r="GO10" s="1">
        <v>219</v>
      </c>
      <c r="GP10" s="1">
        <v>223</v>
      </c>
      <c r="GQ10" s="1">
        <v>238</v>
      </c>
      <c r="GR10" s="1">
        <v>254</v>
      </c>
      <c r="GS10" s="1">
        <v>338</v>
      </c>
      <c r="GT10" s="1">
        <v>324</v>
      </c>
      <c r="GU10" s="1">
        <v>307</v>
      </c>
      <c r="GV10" s="1">
        <v>309</v>
      </c>
      <c r="GW10" s="1">
        <v>304</v>
      </c>
      <c r="GX10" s="6">
        <v>290</v>
      </c>
      <c r="GY10" s="1">
        <v>282</v>
      </c>
      <c r="GZ10" s="1">
        <v>267</v>
      </c>
      <c r="HA10" s="1">
        <v>265</v>
      </c>
      <c r="HB10" s="1">
        <v>242</v>
      </c>
      <c r="HC10" s="1">
        <v>241</v>
      </c>
      <c r="HD10" s="1">
        <v>226</v>
      </c>
      <c r="HE10" s="1">
        <v>275</v>
      </c>
      <c r="HF10" s="1">
        <v>236</v>
      </c>
      <c r="HG10" s="1">
        <v>216</v>
      </c>
      <c r="HH10" s="1">
        <v>208</v>
      </c>
      <c r="HI10" s="1">
        <v>203</v>
      </c>
      <c r="HJ10" s="1">
        <v>197</v>
      </c>
      <c r="HK10" s="48">
        <v>208</v>
      </c>
      <c r="HL10" s="1">
        <v>201</v>
      </c>
      <c r="HM10" s="1">
        <v>187</v>
      </c>
      <c r="HN10" s="1">
        <v>162</v>
      </c>
      <c r="HO10" s="1">
        <v>150</v>
      </c>
      <c r="HP10" s="1">
        <v>134</v>
      </c>
      <c r="HQ10" s="1">
        <v>143</v>
      </c>
      <c r="HR10" s="1">
        <v>178</v>
      </c>
      <c r="HS10" s="1">
        <v>159</v>
      </c>
      <c r="HT10" s="1">
        <v>158</v>
      </c>
      <c r="HU10" s="1">
        <v>151</v>
      </c>
      <c r="HV10" s="1">
        <v>152</v>
      </c>
      <c r="HW10" s="48">
        <v>156</v>
      </c>
      <c r="HX10" s="1">
        <v>164</v>
      </c>
      <c r="HY10" s="1">
        <v>155</v>
      </c>
      <c r="HZ10" s="1">
        <v>152</v>
      </c>
      <c r="IA10" s="1">
        <v>143</v>
      </c>
      <c r="IB10" s="1">
        <v>138</v>
      </c>
      <c r="IC10" s="1">
        <v>176</v>
      </c>
      <c r="ID10" s="1">
        <v>173</v>
      </c>
      <c r="IE10" s="1">
        <v>165</v>
      </c>
      <c r="IF10" s="1">
        <v>179</v>
      </c>
      <c r="IG10" s="1">
        <v>187</v>
      </c>
      <c r="IH10" s="1">
        <v>188</v>
      </c>
      <c r="II10" s="48">
        <v>192</v>
      </c>
      <c r="IJ10" s="1">
        <v>187</v>
      </c>
      <c r="IK10" s="1">
        <v>176</v>
      </c>
      <c r="IL10" s="1">
        <v>164</v>
      </c>
      <c r="IM10" s="1">
        <v>148</v>
      </c>
      <c r="IN10" s="1">
        <v>158</v>
      </c>
      <c r="IO10" s="1">
        <v>202</v>
      </c>
      <c r="IP10" s="1">
        <v>208</v>
      </c>
      <c r="IQ10" s="1">
        <v>205</v>
      </c>
      <c r="IR10" s="1">
        <v>225</v>
      </c>
      <c r="IS10" s="1">
        <v>210</v>
      </c>
      <c r="IT10" s="6">
        <v>210</v>
      </c>
      <c r="IU10" s="1">
        <v>213</v>
      </c>
      <c r="IV10" s="1">
        <v>206</v>
      </c>
      <c r="IW10" s="1">
        <v>210</v>
      </c>
      <c r="IX10" s="1">
        <v>214</v>
      </c>
      <c r="IY10" s="1">
        <v>215</v>
      </c>
      <c r="IZ10" s="1">
        <v>275</v>
      </c>
      <c r="JA10" s="1">
        <v>311</v>
      </c>
      <c r="JB10" s="1">
        <v>328</v>
      </c>
      <c r="JC10" s="1">
        <v>309</v>
      </c>
      <c r="JD10" s="1">
        <v>292</v>
      </c>
      <c r="JE10" s="1">
        <v>285</v>
      </c>
      <c r="JF10" s="1">
        <v>281</v>
      </c>
      <c r="JG10" s="48">
        <v>272</v>
      </c>
      <c r="JH10" s="1">
        <v>278</v>
      </c>
      <c r="JI10" s="1">
        <v>262</v>
      </c>
    </row>
    <row r="11" spans="1:269" ht="13.5" x14ac:dyDescent="0.25">
      <c r="A11" s="1" t="s">
        <v>36</v>
      </c>
      <c r="B11" s="1">
        <v>8</v>
      </c>
      <c r="C11" s="9">
        <v>1209</v>
      </c>
      <c r="D11" s="9">
        <v>1215</v>
      </c>
      <c r="E11" s="9">
        <v>1165</v>
      </c>
      <c r="F11" s="9">
        <v>1106</v>
      </c>
      <c r="G11" s="9">
        <v>1035</v>
      </c>
      <c r="H11" s="9">
        <v>1010</v>
      </c>
      <c r="I11" s="9">
        <v>1045</v>
      </c>
      <c r="J11" s="9">
        <v>1089</v>
      </c>
      <c r="K11" s="9">
        <v>1114</v>
      </c>
      <c r="L11" s="9">
        <v>1079</v>
      </c>
      <c r="M11" s="9">
        <v>1083</v>
      </c>
      <c r="N11" s="13">
        <v>1108</v>
      </c>
      <c r="O11" s="9">
        <v>1122</v>
      </c>
      <c r="P11" s="9">
        <v>1127</v>
      </c>
      <c r="Q11" s="9">
        <v>1086</v>
      </c>
      <c r="R11" s="9">
        <v>1047</v>
      </c>
      <c r="S11" s="9">
        <v>1033</v>
      </c>
      <c r="T11" s="9">
        <v>1006</v>
      </c>
      <c r="U11" s="9">
        <v>1011</v>
      </c>
      <c r="V11" s="9">
        <v>1038</v>
      </c>
      <c r="W11" s="9">
        <v>1038</v>
      </c>
      <c r="X11" s="9">
        <v>1078</v>
      </c>
      <c r="Y11" s="9">
        <v>1078</v>
      </c>
      <c r="Z11" s="13">
        <v>1095</v>
      </c>
      <c r="AA11" s="9">
        <v>1124</v>
      </c>
      <c r="AB11" s="9">
        <v>1080</v>
      </c>
      <c r="AC11" s="9">
        <v>1067</v>
      </c>
      <c r="AD11" s="9">
        <v>1016</v>
      </c>
      <c r="AE11" s="9">
        <v>931</v>
      </c>
      <c r="AF11" s="9">
        <v>867</v>
      </c>
      <c r="AG11" s="9">
        <v>842</v>
      </c>
      <c r="AH11" s="9">
        <v>854</v>
      </c>
      <c r="AI11" s="9">
        <v>831</v>
      </c>
      <c r="AJ11" s="9">
        <v>822</v>
      </c>
      <c r="AK11" s="9">
        <v>783</v>
      </c>
      <c r="AL11" s="13">
        <v>783</v>
      </c>
      <c r="AM11" s="9">
        <v>838</v>
      </c>
      <c r="AN11" s="9">
        <v>831</v>
      </c>
      <c r="AO11" s="9">
        <v>816</v>
      </c>
      <c r="AP11" s="9">
        <v>792</v>
      </c>
      <c r="AQ11" s="9">
        <v>765</v>
      </c>
      <c r="AR11" s="9">
        <v>728</v>
      </c>
      <c r="AS11" s="9">
        <v>728</v>
      </c>
      <c r="AT11" s="9">
        <v>722</v>
      </c>
      <c r="AU11" s="9">
        <v>681</v>
      </c>
      <c r="AV11" s="9">
        <v>653</v>
      </c>
      <c r="AW11" s="9">
        <v>646</v>
      </c>
      <c r="AX11" s="13">
        <v>645</v>
      </c>
      <c r="AY11" s="9">
        <v>680</v>
      </c>
      <c r="AZ11" s="9">
        <v>640</v>
      </c>
      <c r="BA11" s="9">
        <v>618</v>
      </c>
      <c r="BB11" s="9">
        <v>593</v>
      </c>
      <c r="BC11" s="9">
        <v>564</v>
      </c>
      <c r="BD11" s="9">
        <v>553</v>
      </c>
      <c r="BE11" s="9">
        <v>540</v>
      </c>
      <c r="BF11" s="9">
        <v>551</v>
      </c>
      <c r="BG11" s="9">
        <v>578</v>
      </c>
      <c r="BH11" s="9">
        <v>600</v>
      </c>
      <c r="BI11" s="9">
        <v>632</v>
      </c>
      <c r="BJ11" s="13">
        <v>730</v>
      </c>
      <c r="BK11" s="9">
        <v>818</v>
      </c>
      <c r="BL11" s="9">
        <v>861</v>
      </c>
      <c r="BM11" s="9">
        <v>900</v>
      </c>
      <c r="BN11" s="9">
        <v>913</v>
      </c>
      <c r="BO11" s="9">
        <v>921</v>
      </c>
      <c r="BP11" s="9">
        <v>983</v>
      </c>
      <c r="BQ11" s="9">
        <v>1050</v>
      </c>
      <c r="BR11" s="9">
        <v>1116</v>
      </c>
      <c r="BS11" s="9">
        <v>1136</v>
      </c>
      <c r="BT11" s="9">
        <v>1131</v>
      </c>
      <c r="BU11" s="9">
        <v>1133</v>
      </c>
      <c r="BV11" s="13">
        <v>1165</v>
      </c>
      <c r="BW11" s="9">
        <v>1173</v>
      </c>
      <c r="BX11" s="9">
        <v>1124</v>
      </c>
      <c r="BY11" s="9">
        <v>1104</v>
      </c>
      <c r="BZ11" s="9">
        <v>1039</v>
      </c>
      <c r="CA11" s="9">
        <v>967</v>
      </c>
      <c r="CB11" s="9">
        <v>892</v>
      </c>
      <c r="CC11" s="9">
        <v>903</v>
      </c>
      <c r="CD11" s="9">
        <v>943</v>
      </c>
      <c r="CE11" s="9">
        <v>874</v>
      </c>
      <c r="CF11" s="9">
        <v>843</v>
      </c>
      <c r="CG11" s="9">
        <v>818</v>
      </c>
      <c r="CH11" s="13">
        <v>817</v>
      </c>
      <c r="CI11" s="9">
        <v>838</v>
      </c>
      <c r="CJ11" s="9">
        <v>814</v>
      </c>
      <c r="CK11" s="9">
        <v>750</v>
      </c>
      <c r="CL11" s="9">
        <v>626</v>
      </c>
      <c r="CM11" s="9">
        <v>554</v>
      </c>
      <c r="CN11" s="9">
        <v>549</v>
      </c>
      <c r="CO11" s="9">
        <v>560</v>
      </c>
      <c r="CP11" s="9">
        <v>600</v>
      </c>
      <c r="CQ11" s="9">
        <v>593</v>
      </c>
      <c r="CR11" s="9">
        <v>609</v>
      </c>
      <c r="CS11" s="9">
        <v>626</v>
      </c>
      <c r="CT11" s="13">
        <v>675</v>
      </c>
      <c r="CU11" s="9">
        <v>706</v>
      </c>
      <c r="CV11" s="9">
        <v>730</v>
      </c>
      <c r="CW11" s="9">
        <v>676</v>
      </c>
      <c r="CX11" s="9">
        <v>655</v>
      </c>
      <c r="CY11" s="9">
        <v>619</v>
      </c>
      <c r="CZ11" s="9">
        <v>595</v>
      </c>
      <c r="DA11" s="9">
        <v>612</v>
      </c>
      <c r="DB11" s="9">
        <v>678</v>
      </c>
      <c r="DC11" s="9">
        <v>671</v>
      </c>
      <c r="DD11" s="9">
        <v>690</v>
      </c>
      <c r="DE11" s="9">
        <v>697</v>
      </c>
      <c r="DF11" s="13">
        <v>760</v>
      </c>
      <c r="DG11" s="9">
        <v>828</v>
      </c>
      <c r="DH11" s="9">
        <v>809</v>
      </c>
      <c r="DI11" s="9">
        <v>768</v>
      </c>
      <c r="DJ11" s="9">
        <v>726</v>
      </c>
      <c r="DK11" s="9">
        <v>685</v>
      </c>
      <c r="DL11" s="9">
        <v>650</v>
      </c>
      <c r="DM11" s="9">
        <v>657</v>
      </c>
      <c r="DN11" s="9">
        <v>678</v>
      </c>
      <c r="DO11" s="9">
        <v>686</v>
      </c>
      <c r="DP11" s="9">
        <v>684</v>
      </c>
      <c r="DQ11" s="9">
        <v>697</v>
      </c>
      <c r="DR11" s="13">
        <v>707</v>
      </c>
      <c r="DS11" s="9">
        <v>723</v>
      </c>
      <c r="DT11" s="9">
        <v>690</v>
      </c>
      <c r="DU11" s="9">
        <v>669</v>
      </c>
      <c r="DV11" s="9">
        <v>632</v>
      </c>
      <c r="DW11" s="9">
        <v>610</v>
      </c>
      <c r="DX11" s="9">
        <v>615</v>
      </c>
      <c r="DY11" s="9">
        <v>627</v>
      </c>
      <c r="DZ11" s="9">
        <v>609</v>
      </c>
      <c r="EA11" s="9">
        <v>583</v>
      </c>
      <c r="EB11" s="9">
        <v>552</v>
      </c>
      <c r="EC11" s="9">
        <v>569</v>
      </c>
      <c r="ED11" s="13">
        <v>623</v>
      </c>
      <c r="EE11" s="9">
        <v>634</v>
      </c>
      <c r="EF11" s="9">
        <v>649</v>
      </c>
      <c r="EG11" s="9">
        <v>650</v>
      </c>
      <c r="EH11" s="9">
        <v>645</v>
      </c>
      <c r="EI11" s="9">
        <v>618</v>
      </c>
      <c r="EJ11" s="9">
        <v>646</v>
      </c>
      <c r="EK11" s="9">
        <v>722</v>
      </c>
      <c r="EL11" s="9">
        <v>711</v>
      </c>
      <c r="EM11" s="9">
        <v>700</v>
      </c>
      <c r="EN11" s="9">
        <v>701</v>
      </c>
      <c r="EO11" s="9">
        <v>731</v>
      </c>
      <c r="EP11" s="13">
        <v>760</v>
      </c>
      <c r="EQ11" s="9">
        <v>756</v>
      </c>
      <c r="ER11" s="9">
        <v>757</v>
      </c>
      <c r="ES11" s="9">
        <v>704</v>
      </c>
      <c r="ET11" s="9">
        <v>668</v>
      </c>
      <c r="EU11" s="9">
        <v>644</v>
      </c>
      <c r="EV11" s="9">
        <v>617</v>
      </c>
      <c r="EW11" s="9">
        <v>640</v>
      </c>
      <c r="EX11" s="9">
        <v>712</v>
      </c>
      <c r="EY11" s="9">
        <v>712</v>
      </c>
      <c r="EZ11" s="9">
        <v>689</v>
      </c>
      <c r="FA11" s="9">
        <v>677</v>
      </c>
      <c r="FB11" s="13">
        <v>718</v>
      </c>
      <c r="FC11" s="9">
        <v>709</v>
      </c>
      <c r="FD11" s="36">
        <v>692</v>
      </c>
      <c r="FE11" s="33">
        <v>659</v>
      </c>
      <c r="FF11" s="33">
        <v>619</v>
      </c>
      <c r="FG11" s="36">
        <v>583</v>
      </c>
      <c r="FH11" s="36">
        <v>544</v>
      </c>
      <c r="FI11" s="36">
        <v>579</v>
      </c>
      <c r="FJ11" s="36">
        <v>572</v>
      </c>
      <c r="FK11" s="36">
        <v>565</v>
      </c>
      <c r="FL11" s="1">
        <v>551</v>
      </c>
      <c r="FM11" s="1">
        <v>572</v>
      </c>
      <c r="FN11" s="6">
        <v>590</v>
      </c>
      <c r="FO11" s="1">
        <v>612</v>
      </c>
      <c r="FP11" s="1">
        <v>618</v>
      </c>
      <c r="FQ11" s="1">
        <v>585</v>
      </c>
      <c r="FR11" s="1">
        <v>563</v>
      </c>
      <c r="FS11" s="1">
        <v>517</v>
      </c>
      <c r="FT11" s="1">
        <v>478</v>
      </c>
      <c r="FU11" s="1">
        <v>512</v>
      </c>
      <c r="FV11" s="1">
        <v>539</v>
      </c>
      <c r="FW11" s="1">
        <v>504</v>
      </c>
      <c r="FX11" s="1">
        <v>499</v>
      </c>
      <c r="FY11" s="1">
        <v>518</v>
      </c>
      <c r="FZ11" s="1">
        <v>515</v>
      </c>
      <c r="GA11" s="48">
        <v>510</v>
      </c>
      <c r="GB11" s="1">
        <v>509</v>
      </c>
      <c r="GC11" s="1">
        <v>500</v>
      </c>
      <c r="GD11" s="1">
        <v>460</v>
      </c>
      <c r="GE11" s="1">
        <v>442</v>
      </c>
      <c r="GF11" s="1">
        <v>436</v>
      </c>
      <c r="GG11" s="1">
        <v>467</v>
      </c>
      <c r="GH11" s="1">
        <v>453</v>
      </c>
      <c r="GI11" s="1">
        <v>454</v>
      </c>
      <c r="GJ11" s="1">
        <v>475</v>
      </c>
      <c r="GK11" s="1">
        <v>496</v>
      </c>
      <c r="GL11" s="1">
        <v>510</v>
      </c>
      <c r="GM11" s="48">
        <v>493</v>
      </c>
      <c r="GN11" s="1">
        <v>460</v>
      </c>
      <c r="GO11" s="1">
        <v>560</v>
      </c>
      <c r="GP11" s="1">
        <v>677</v>
      </c>
      <c r="GQ11" s="1">
        <v>688</v>
      </c>
      <c r="GR11" s="1">
        <v>712</v>
      </c>
      <c r="GS11" s="1">
        <v>763</v>
      </c>
      <c r="GT11" s="1">
        <v>769</v>
      </c>
      <c r="GU11" s="1">
        <v>713</v>
      </c>
      <c r="GV11" s="1">
        <v>691</v>
      </c>
      <c r="GW11" s="1">
        <v>712</v>
      </c>
      <c r="GX11" s="6">
        <v>740</v>
      </c>
      <c r="GY11" s="1">
        <v>739</v>
      </c>
      <c r="GZ11" s="1">
        <v>710</v>
      </c>
      <c r="HA11" s="1">
        <v>685</v>
      </c>
      <c r="HB11" s="1">
        <v>638</v>
      </c>
      <c r="HC11" s="1">
        <v>609</v>
      </c>
      <c r="HD11" s="1">
        <v>585</v>
      </c>
      <c r="HE11" s="1">
        <v>598</v>
      </c>
      <c r="HF11" s="1">
        <v>578</v>
      </c>
      <c r="HG11" s="1">
        <v>533</v>
      </c>
      <c r="HH11" s="1">
        <v>510</v>
      </c>
      <c r="HI11" s="1">
        <v>502</v>
      </c>
      <c r="HJ11" s="1">
        <v>517</v>
      </c>
      <c r="HK11" s="48">
        <v>505</v>
      </c>
      <c r="HL11" s="1">
        <v>500</v>
      </c>
      <c r="HM11" s="1">
        <v>462</v>
      </c>
      <c r="HN11" s="1">
        <v>440</v>
      </c>
      <c r="HO11" s="1">
        <v>400</v>
      </c>
      <c r="HP11" s="1">
        <v>374</v>
      </c>
      <c r="HQ11" s="1">
        <v>385</v>
      </c>
      <c r="HR11" s="1">
        <v>348</v>
      </c>
      <c r="HS11" s="1">
        <v>330</v>
      </c>
      <c r="HT11" s="1">
        <v>334</v>
      </c>
      <c r="HU11" s="1">
        <v>333</v>
      </c>
      <c r="HV11" s="1">
        <v>333</v>
      </c>
      <c r="HW11" s="48">
        <v>330</v>
      </c>
      <c r="HX11" s="1">
        <v>353</v>
      </c>
      <c r="HY11" s="1">
        <v>373</v>
      </c>
      <c r="HZ11" s="1">
        <v>343</v>
      </c>
      <c r="IA11" s="1">
        <v>346</v>
      </c>
      <c r="IB11" s="1">
        <v>358</v>
      </c>
      <c r="IC11" s="1">
        <v>363</v>
      </c>
      <c r="ID11" s="1">
        <v>355</v>
      </c>
      <c r="IE11" s="1">
        <v>344</v>
      </c>
      <c r="IF11" s="1">
        <v>361</v>
      </c>
      <c r="IG11" s="1">
        <v>375</v>
      </c>
      <c r="IH11" s="1">
        <v>402</v>
      </c>
      <c r="II11" s="48">
        <v>415</v>
      </c>
      <c r="IJ11" s="1">
        <v>426</v>
      </c>
      <c r="IK11" s="1">
        <v>421</v>
      </c>
      <c r="IL11" s="1">
        <v>431</v>
      </c>
      <c r="IM11" s="1">
        <v>437</v>
      </c>
      <c r="IN11" s="1">
        <v>438</v>
      </c>
      <c r="IO11" s="1">
        <v>466</v>
      </c>
      <c r="IP11" s="1">
        <v>487</v>
      </c>
      <c r="IQ11" s="1">
        <v>492</v>
      </c>
      <c r="IR11" s="1">
        <v>500</v>
      </c>
      <c r="IS11" s="1">
        <v>535</v>
      </c>
      <c r="IT11" s="6">
        <v>555</v>
      </c>
      <c r="IU11" s="1">
        <v>567</v>
      </c>
      <c r="IV11" s="1">
        <v>596</v>
      </c>
      <c r="IW11" s="1">
        <v>589</v>
      </c>
      <c r="IX11" s="1">
        <v>555</v>
      </c>
      <c r="IY11" s="1">
        <v>509</v>
      </c>
      <c r="IZ11" s="1">
        <v>522</v>
      </c>
      <c r="JA11" s="1">
        <v>559</v>
      </c>
      <c r="JB11" s="1">
        <v>593</v>
      </c>
      <c r="JC11" s="1">
        <v>598</v>
      </c>
      <c r="JD11" s="1">
        <v>620</v>
      </c>
      <c r="JE11" s="1">
        <v>615</v>
      </c>
      <c r="JF11" s="1">
        <v>599</v>
      </c>
      <c r="JG11" s="48">
        <v>617</v>
      </c>
      <c r="JH11" s="1">
        <v>584</v>
      </c>
      <c r="JI11" s="1">
        <v>548</v>
      </c>
    </row>
    <row r="12" spans="1:269" ht="13.5" x14ac:dyDescent="0.25">
      <c r="A12" s="1" t="s">
        <v>37</v>
      </c>
      <c r="B12" s="1">
        <v>9</v>
      </c>
      <c r="C12" s="9">
        <v>1026</v>
      </c>
      <c r="D12" s="9">
        <v>1039</v>
      </c>
      <c r="E12" s="9">
        <v>1010</v>
      </c>
      <c r="F12" s="9">
        <v>959</v>
      </c>
      <c r="G12" s="9">
        <v>911</v>
      </c>
      <c r="H12" s="9">
        <v>864</v>
      </c>
      <c r="I12" s="9">
        <v>839</v>
      </c>
      <c r="J12" s="9">
        <v>834</v>
      </c>
      <c r="K12" s="9">
        <v>805</v>
      </c>
      <c r="L12" s="9">
        <v>777</v>
      </c>
      <c r="M12" s="9">
        <v>824</v>
      </c>
      <c r="N12" s="13">
        <v>843</v>
      </c>
      <c r="O12" s="9">
        <v>860</v>
      </c>
      <c r="P12" s="9">
        <v>863</v>
      </c>
      <c r="Q12" s="9">
        <v>815</v>
      </c>
      <c r="R12" s="9">
        <v>783</v>
      </c>
      <c r="S12" s="9">
        <v>790</v>
      </c>
      <c r="T12" s="9">
        <v>762</v>
      </c>
      <c r="U12" s="9">
        <v>773</v>
      </c>
      <c r="V12" s="9">
        <v>750</v>
      </c>
      <c r="W12" s="9">
        <v>749</v>
      </c>
      <c r="X12" s="9">
        <v>767</v>
      </c>
      <c r="Y12" s="9">
        <v>793</v>
      </c>
      <c r="Z12" s="13">
        <v>788</v>
      </c>
      <c r="AA12" s="9">
        <v>807</v>
      </c>
      <c r="AB12" s="9">
        <v>786</v>
      </c>
      <c r="AC12" s="9">
        <v>776</v>
      </c>
      <c r="AD12" s="9">
        <v>740</v>
      </c>
      <c r="AE12" s="9">
        <v>729</v>
      </c>
      <c r="AF12" s="9">
        <v>703</v>
      </c>
      <c r="AG12" s="9">
        <v>687</v>
      </c>
      <c r="AH12" s="9">
        <v>663</v>
      </c>
      <c r="AI12" s="9">
        <v>675</v>
      </c>
      <c r="AJ12" s="9">
        <v>654</v>
      </c>
      <c r="AK12" s="9">
        <v>661</v>
      </c>
      <c r="AL12" s="13">
        <v>690</v>
      </c>
      <c r="AM12" s="9">
        <v>698</v>
      </c>
      <c r="AN12" s="9">
        <v>699</v>
      </c>
      <c r="AO12" s="9">
        <v>676</v>
      </c>
      <c r="AP12" s="9">
        <v>647</v>
      </c>
      <c r="AQ12" s="9">
        <v>643</v>
      </c>
      <c r="AR12" s="9">
        <v>616</v>
      </c>
      <c r="AS12" s="9">
        <v>596</v>
      </c>
      <c r="AT12" s="9">
        <v>583</v>
      </c>
      <c r="AU12" s="9">
        <v>585</v>
      </c>
      <c r="AV12" s="9">
        <v>572</v>
      </c>
      <c r="AW12" s="9">
        <v>581</v>
      </c>
      <c r="AX12" s="13">
        <v>619</v>
      </c>
      <c r="AY12" s="9">
        <v>647</v>
      </c>
      <c r="AZ12" s="9">
        <v>610</v>
      </c>
      <c r="BA12" s="9">
        <v>615</v>
      </c>
      <c r="BB12" s="9">
        <v>619</v>
      </c>
      <c r="BC12" s="9">
        <v>578</v>
      </c>
      <c r="BD12" s="9">
        <v>551</v>
      </c>
      <c r="BE12" s="9">
        <v>534</v>
      </c>
      <c r="BF12" s="9">
        <v>529</v>
      </c>
      <c r="BG12" s="9">
        <v>552</v>
      </c>
      <c r="BH12" s="9">
        <v>559</v>
      </c>
      <c r="BI12" s="9">
        <v>615</v>
      </c>
      <c r="BJ12" s="13">
        <v>686</v>
      </c>
      <c r="BK12" s="9">
        <v>746</v>
      </c>
      <c r="BL12" s="9">
        <v>773</v>
      </c>
      <c r="BM12" s="9">
        <v>808</v>
      </c>
      <c r="BN12" s="9">
        <v>856</v>
      </c>
      <c r="BO12" s="9">
        <v>882</v>
      </c>
      <c r="BP12" s="9">
        <v>951</v>
      </c>
      <c r="BQ12" s="9">
        <v>944</v>
      </c>
      <c r="BR12" s="9">
        <v>926</v>
      </c>
      <c r="BS12" s="9">
        <v>958</v>
      </c>
      <c r="BT12" s="9">
        <v>1018</v>
      </c>
      <c r="BU12" s="9">
        <v>1046</v>
      </c>
      <c r="BV12" s="13">
        <v>1112</v>
      </c>
      <c r="BW12" s="9">
        <v>1095</v>
      </c>
      <c r="BX12" s="9">
        <v>1078</v>
      </c>
      <c r="BY12" s="9">
        <v>1058</v>
      </c>
      <c r="BZ12" s="9">
        <v>985</v>
      </c>
      <c r="CA12" s="9">
        <v>941</v>
      </c>
      <c r="CB12" s="9">
        <v>911</v>
      </c>
      <c r="CC12" s="9">
        <v>874</v>
      </c>
      <c r="CD12" s="9">
        <v>865</v>
      </c>
      <c r="CE12" s="9">
        <v>860</v>
      </c>
      <c r="CF12" s="9">
        <v>840</v>
      </c>
      <c r="CG12" s="9">
        <v>837</v>
      </c>
      <c r="CH12" s="13">
        <v>881</v>
      </c>
      <c r="CI12" s="9">
        <v>872</v>
      </c>
      <c r="CJ12" s="9">
        <v>814</v>
      </c>
      <c r="CK12" s="9">
        <v>767</v>
      </c>
      <c r="CL12" s="9">
        <v>684</v>
      </c>
      <c r="CM12" s="9">
        <v>665</v>
      </c>
      <c r="CN12" s="9">
        <v>642</v>
      </c>
      <c r="CO12" s="9">
        <v>610</v>
      </c>
      <c r="CP12" s="9">
        <v>607</v>
      </c>
      <c r="CQ12" s="9">
        <v>625</v>
      </c>
      <c r="CR12" s="9">
        <v>619</v>
      </c>
      <c r="CS12" s="9">
        <v>693</v>
      </c>
      <c r="CT12" s="13">
        <v>727</v>
      </c>
      <c r="CU12" s="9">
        <v>742</v>
      </c>
      <c r="CV12" s="9">
        <v>735</v>
      </c>
      <c r="CW12" s="9">
        <v>709</v>
      </c>
      <c r="CX12" s="9">
        <v>705</v>
      </c>
      <c r="CY12" s="9">
        <v>707</v>
      </c>
      <c r="CZ12" s="9">
        <v>708</v>
      </c>
      <c r="DA12" s="9">
        <v>710</v>
      </c>
      <c r="DB12" s="9">
        <v>688</v>
      </c>
      <c r="DC12" s="9">
        <v>701</v>
      </c>
      <c r="DD12" s="9">
        <v>738</v>
      </c>
      <c r="DE12" s="9">
        <v>786</v>
      </c>
      <c r="DF12" s="13">
        <v>835</v>
      </c>
      <c r="DG12" s="9">
        <v>868</v>
      </c>
      <c r="DH12" s="9">
        <v>874</v>
      </c>
      <c r="DI12" s="9">
        <v>843</v>
      </c>
      <c r="DJ12" s="9">
        <v>826</v>
      </c>
      <c r="DK12" s="9">
        <v>781</v>
      </c>
      <c r="DL12" s="9">
        <v>772</v>
      </c>
      <c r="DM12" s="9">
        <v>787</v>
      </c>
      <c r="DN12" s="9">
        <v>780</v>
      </c>
      <c r="DO12" s="9">
        <v>755</v>
      </c>
      <c r="DP12" s="9">
        <v>783</v>
      </c>
      <c r="DQ12" s="9">
        <v>797</v>
      </c>
      <c r="DR12" s="13">
        <v>843</v>
      </c>
      <c r="DS12" s="9">
        <v>859</v>
      </c>
      <c r="DT12" s="9">
        <v>816</v>
      </c>
      <c r="DU12" s="9">
        <v>807</v>
      </c>
      <c r="DV12" s="9">
        <v>787</v>
      </c>
      <c r="DW12" s="9">
        <v>762</v>
      </c>
      <c r="DX12" s="9">
        <v>757</v>
      </c>
      <c r="DY12" s="9">
        <v>743</v>
      </c>
      <c r="DZ12" s="9">
        <v>724</v>
      </c>
      <c r="EA12" s="9">
        <v>693</v>
      </c>
      <c r="EB12" s="9">
        <v>709</v>
      </c>
      <c r="EC12" s="9">
        <v>711</v>
      </c>
      <c r="ED12" s="13">
        <v>763</v>
      </c>
      <c r="EE12" s="9">
        <v>776</v>
      </c>
      <c r="EF12" s="9">
        <v>766</v>
      </c>
      <c r="EG12" s="9">
        <v>796</v>
      </c>
      <c r="EH12" s="9">
        <v>756</v>
      </c>
      <c r="EI12" s="9">
        <v>747</v>
      </c>
      <c r="EJ12" s="9">
        <v>766</v>
      </c>
      <c r="EK12" s="9">
        <v>770</v>
      </c>
      <c r="EL12" s="9">
        <v>774</v>
      </c>
      <c r="EM12" s="9">
        <v>773</v>
      </c>
      <c r="EN12" s="9">
        <v>813</v>
      </c>
      <c r="EO12" s="9">
        <v>846</v>
      </c>
      <c r="EP12" s="13">
        <v>917</v>
      </c>
      <c r="EQ12" s="9">
        <v>940</v>
      </c>
      <c r="ER12" s="9">
        <v>939</v>
      </c>
      <c r="ES12" s="9">
        <v>949</v>
      </c>
      <c r="ET12" s="9">
        <v>929</v>
      </c>
      <c r="EU12" s="9">
        <v>922</v>
      </c>
      <c r="EV12" s="9">
        <v>924</v>
      </c>
      <c r="EW12" s="9">
        <v>882</v>
      </c>
      <c r="EX12" s="9">
        <v>865</v>
      </c>
      <c r="EY12" s="9">
        <v>892</v>
      </c>
      <c r="EZ12" s="9">
        <v>919</v>
      </c>
      <c r="FA12" s="9">
        <v>941</v>
      </c>
      <c r="FB12" s="13">
        <v>949</v>
      </c>
      <c r="FC12" s="9">
        <v>960</v>
      </c>
      <c r="FD12" s="36">
        <v>960</v>
      </c>
      <c r="FE12" s="33">
        <v>941</v>
      </c>
      <c r="FF12" s="33">
        <v>900</v>
      </c>
      <c r="FG12" s="36">
        <v>873</v>
      </c>
      <c r="FH12" s="36">
        <v>838</v>
      </c>
      <c r="FI12" s="36">
        <v>808</v>
      </c>
      <c r="FJ12" s="36">
        <v>805</v>
      </c>
      <c r="FK12" s="36">
        <v>815</v>
      </c>
      <c r="FL12" s="1">
        <v>827</v>
      </c>
      <c r="FM12" s="1">
        <v>855</v>
      </c>
      <c r="FN12" s="6">
        <v>880</v>
      </c>
      <c r="FO12" s="1">
        <v>880</v>
      </c>
      <c r="FP12" s="1">
        <v>888</v>
      </c>
      <c r="FQ12" s="1">
        <v>867</v>
      </c>
      <c r="FR12" s="1">
        <v>822</v>
      </c>
      <c r="FS12" s="1">
        <v>769</v>
      </c>
      <c r="FT12" s="1">
        <v>724</v>
      </c>
      <c r="FU12" s="1">
        <v>709</v>
      </c>
      <c r="FV12" s="1">
        <v>684</v>
      </c>
      <c r="FW12" s="1">
        <v>684</v>
      </c>
      <c r="FX12" s="1">
        <v>678</v>
      </c>
      <c r="FY12" s="1">
        <v>733</v>
      </c>
      <c r="FZ12" s="1">
        <v>774</v>
      </c>
      <c r="GA12" s="48">
        <v>809</v>
      </c>
      <c r="GB12" s="1">
        <v>789</v>
      </c>
      <c r="GC12" s="1">
        <v>760</v>
      </c>
      <c r="GD12" s="1">
        <v>726</v>
      </c>
      <c r="GE12" s="1">
        <v>720</v>
      </c>
      <c r="GF12" s="1">
        <v>704</v>
      </c>
      <c r="GG12" s="1">
        <v>703</v>
      </c>
      <c r="GH12" s="1">
        <v>673</v>
      </c>
      <c r="GI12" s="1">
        <v>679</v>
      </c>
      <c r="GJ12" s="1">
        <v>695</v>
      </c>
      <c r="GK12" s="1">
        <v>729</v>
      </c>
      <c r="GL12" s="1">
        <v>761</v>
      </c>
      <c r="GM12" s="48">
        <v>742</v>
      </c>
      <c r="GN12" s="1">
        <v>716</v>
      </c>
      <c r="GO12" s="1">
        <v>829</v>
      </c>
      <c r="GP12" s="1">
        <v>946</v>
      </c>
      <c r="GQ12" s="1">
        <v>981</v>
      </c>
      <c r="GR12" s="1">
        <v>994</v>
      </c>
      <c r="GS12" s="1">
        <v>1018</v>
      </c>
      <c r="GT12" s="1">
        <v>1001</v>
      </c>
      <c r="GU12" s="1">
        <v>1010</v>
      </c>
      <c r="GV12" s="1">
        <v>1019</v>
      </c>
      <c r="GW12" s="1">
        <v>1059</v>
      </c>
      <c r="GX12" s="6">
        <v>1097</v>
      </c>
      <c r="GY12" s="1">
        <v>1096</v>
      </c>
      <c r="GZ12" s="1">
        <v>1090</v>
      </c>
      <c r="HA12" s="1">
        <v>1037</v>
      </c>
      <c r="HB12" s="1">
        <v>996</v>
      </c>
      <c r="HC12" s="1">
        <v>981</v>
      </c>
      <c r="HD12" s="1">
        <v>924</v>
      </c>
      <c r="HE12" s="1">
        <v>881</v>
      </c>
      <c r="HF12" s="1">
        <v>841</v>
      </c>
      <c r="HG12" s="1">
        <v>814</v>
      </c>
      <c r="HH12" s="1">
        <v>773</v>
      </c>
      <c r="HI12" s="1">
        <v>809</v>
      </c>
      <c r="HJ12" s="1">
        <v>820</v>
      </c>
      <c r="HK12" s="48">
        <v>818</v>
      </c>
      <c r="HL12" s="1">
        <v>821</v>
      </c>
      <c r="HM12" s="1">
        <v>799</v>
      </c>
      <c r="HN12" s="1">
        <v>755</v>
      </c>
      <c r="HO12" s="1">
        <v>709</v>
      </c>
      <c r="HP12" s="1">
        <v>678</v>
      </c>
      <c r="HQ12" s="1">
        <v>666</v>
      </c>
      <c r="HR12" s="1">
        <v>632</v>
      </c>
      <c r="HS12" s="1">
        <v>621</v>
      </c>
      <c r="HT12" s="1">
        <v>617</v>
      </c>
      <c r="HU12" s="1">
        <v>615</v>
      </c>
      <c r="HV12" s="1">
        <v>618</v>
      </c>
      <c r="HW12" s="48">
        <v>613</v>
      </c>
      <c r="HX12" s="1">
        <v>603</v>
      </c>
      <c r="HY12" s="1">
        <v>574</v>
      </c>
      <c r="HZ12" s="1">
        <v>545</v>
      </c>
      <c r="IA12" s="1">
        <v>519</v>
      </c>
      <c r="IB12" s="1">
        <v>532</v>
      </c>
      <c r="IC12" s="1">
        <v>569</v>
      </c>
      <c r="ID12" s="1">
        <v>575</v>
      </c>
      <c r="IE12" s="1">
        <v>568</v>
      </c>
      <c r="IF12" s="1">
        <v>593</v>
      </c>
      <c r="IG12" s="1">
        <v>631</v>
      </c>
      <c r="IH12" s="1">
        <v>658</v>
      </c>
      <c r="II12" s="48">
        <v>689</v>
      </c>
      <c r="IJ12" s="1">
        <v>696</v>
      </c>
      <c r="IK12" s="1">
        <v>663</v>
      </c>
      <c r="IL12" s="1">
        <v>648</v>
      </c>
      <c r="IM12" s="1">
        <v>653</v>
      </c>
      <c r="IN12" s="1">
        <v>688</v>
      </c>
      <c r="IO12" s="1">
        <v>715</v>
      </c>
      <c r="IP12" s="1">
        <v>719</v>
      </c>
      <c r="IQ12" s="1">
        <v>735</v>
      </c>
      <c r="IR12" s="1">
        <v>754</v>
      </c>
      <c r="IS12" s="1">
        <v>788</v>
      </c>
      <c r="IT12" s="6">
        <v>840</v>
      </c>
      <c r="IU12" s="1">
        <v>863</v>
      </c>
      <c r="IV12" s="1">
        <v>873</v>
      </c>
      <c r="IW12" s="1">
        <v>886</v>
      </c>
      <c r="IX12" s="1">
        <v>870</v>
      </c>
      <c r="IY12" s="1">
        <v>854</v>
      </c>
      <c r="IZ12" s="1">
        <v>870</v>
      </c>
      <c r="JA12" s="1">
        <v>871</v>
      </c>
      <c r="JB12" s="1">
        <v>830</v>
      </c>
      <c r="JC12" s="1">
        <v>806</v>
      </c>
      <c r="JD12" s="1">
        <v>837</v>
      </c>
      <c r="JE12" s="1">
        <v>851</v>
      </c>
      <c r="JF12" s="1">
        <v>888</v>
      </c>
      <c r="JG12" s="48">
        <v>938</v>
      </c>
      <c r="JH12" s="1">
        <v>895</v>
      </c>
      <c r="JI12" s="1">
        <v>882</v>
      </c>
    </row>
    <row r="13" spans="1:269" ht="13.5" x14ac:dyDescent="0.25">
      <c r="A13" s="1" t="s">
        <v>38</v>
      </c>
      <c r="B13" s="1">
        <v>10</v>
      </c>
      <c r="C13" s="9">
        <v>1764</v>
      </c>
      <c r="D13" s="9">
        <v>1753</v>
      </c>
      <c r="E13" s="9">
        <v>1751</v>
      </c>
      <c r="F13" s="9">
        <v>1751</v>
      </c>
      <c r="G13" s="9">
        <v>1685</v>
      </c>
      <c r="H13" s="9">
        <v>1642</v>
      </c>
      <c r="I13" s="9">
        <v>1636</v>
      </c>
      <c r="J13" s="9">
        <v>1606</v>
      </c>
      <c r="K13" s="9">
        <v>1593</v>
      </c>
      <c r="L13" s="9">
        <f>350+408+365+423</f>
        <v>1546</v>
      </c>
      <c r="M13" s="9">
        <v>1573</v>
      </c>
      <c r="N13" s="13">
        <f>361+443+396+435</f>
        <v>1635</v>
      </c>
      <c r="O13" s="9">
        <f>362+406+429+449</f>
        <v>1646</v>
      </c>
      <c r="P13" s="9">
        <f>358+435+422+453</f>
        <v>1668</v>
      </c>
      <c r="Q13" s="9">
        <f>[4]Alter!Q38+[4]Alter!Q39</f>
        <v>1653</v>
      </c>
      <c r="R13" s="9">
        <f>375+378+431+445</f>
        <v>1629</v>
      </c>
      <c r="S13" s="9">
        <f>810+807</f>
        <v>1617</v>
      </c>
      <c r="T13" s="9">
        <v>1610</v>
      </c>
      <c r="U13" s="9">
        <f>382+379+353+432</f>
        <v>1546</v>
      </c>
      <c r="V13" s="9">
        <f>732+763</f>
        <v>1495</v>
      </c>
      <c r="W13" s="9">
        <v>1483</v>
      </c>
      <c r="X13" s="9">
        <f>354+344+356+403</f>
        <v>1457</v>
      </c>
      <c r="Y13" s="9">
        <v>1456</v>
      </c>
      <c r="Z13" s="13">
        <f>697+769</f>
        <v>1466</v>
      </c>
      <c r="AA13" s="9">
        <f>716+760</f>
        <v>1476</v>
      </c>
      <c r="AB13" s="9">
        <v>1443</v>
      </c>
      <c r="AC13" s="9">
        <f>679+737</f>
        <v>1416</v>
      </c>
      <c r="AD13" s="9">
        <f>651+712</f>
        <v>1363</v>
      </c>
      <c r="AE13" s="9">
        <f>630+684</f>
        <v>1314</v>
      </c>
      <c r="AF13" s="9">
        <v>1299</v>
      </c>
      <c r="AG13" s="9">
        <v>1229</v>
      </c>
      <c r="AH13" s="9">
        <v>1208</v>
      </c>
      <c r="AI13" s="9">
        <v>1185</v>
      </c>
      <c r="AJ13" s="9">
        <v>1156</v>
      </c>
      <c r="AK13" s="9">
        <v>1148</v>
      </c>
      <c r="AL13" s="13">
        <v>1165</v>
      </c>
      <c r="AM13" s="9">
        <v>1160</v>
      </c>
      <c r="AN13" s="9">
        <f>527+614</f>
        <v>1141</v>
      </c>
      <c r="AO13" s="9">
        <v>1125</v>
      </c>
      <c r="AP13" s="9">
        <v>1120</v>
      </c>
      <c r="AQ13" s="9">
        <v>1086</v>
      </c>
      <c r="AR13" s="9">
        <v>1066</v>
      </c>
      <c r="AS13" s="9">
        <v>1041</v>
      </c>
      <c r="AT13" s="9">
        <v>1045</v>
      </c>
      <c r="AU13" s="9">
        <v>1000</v>
      </c>
      <c r="AV13" s="9">
        <v>1010</v>
      </c>
      <c r="AW13" s="9">
        <v>1044</v>
      </c>
      <c r="AX13" s="13">
        <v>1071</v>
      </c>
      <c r="AY13" s="9">
        <v>1083</v>
      </c>
      <c r="AZ13" s="9">
        <v>1011</v>
      </c>
      <c r="BA13" s="9">
        <v>982</v>
      </c>
      <c r="BB13" s="9">
        <v>992</v>
      </c>
      <c r="BC13" s="9">
        <v>949</v>
      </c>
      <c r="BD13" s="9">
        <v>923</v>
      </c>
      <c r="BE13" s="9">
        <v>902</v>
      </c>
      <c r="BF13" s="9">
        <v>899</v>
      </c>
      <c r="BG13" s="9">
        <v>956</v>
      </c>
      <c r="BH13" s="9">
        <v>945</v>
      </c>
      <c r="BI13" s="9">
        <v>974</v>
      </c>
      <c r="BJ13" s="13">
        <v>1092</v>
      </c>
      <c r="BK13" s="9">
        <v>1187</v>
      </c>
      <c r="BL13" s="9">
        <v>1244</v>
      </c>
      <c r="BM13" s="9">
        <v>1322</v>
      </c>
      <c r="BN13" s="9">
        <v>1382</v>
      </c>
      <c r="BO13" s="9">
        <v>1396</v>
      </c>
      <c r="BP13" s="9">
        <v>1482</v>
      </c>
      <c r="BQ13" s="9">
        <v>1496</v>
      </c>
      <c r="BR13" s="9">
        <v>1514</v>
      </c>
      <c r="BS13" s="9">
        <v>1566</v>
      </c>
      <c r="BT13" s="9">
        <v>1573</v>
      </c>
      <c r="BU13" s="9">
        <v>1589</v>
      </c>
      <c r="BV13" s="13">
        <v>1664</v>
      </c>
      <c r="BW13" s="9">
        <v>1667</v>
      </c>
      <c r="BX13" s="9">
        <v>1671</v>
      </c>
      <c r="BY13" s="9">
        <v>1642</v>
      </c>
      <c r="BZ13" s="9">
        <v>1584</v>
      </c>
      <c r="CA13" s="9">
        <v>1551</v>
      </c>
      <c r="CB13" s="9">
        <v>1493</v>
      </c>
      <c r="CC13" s="9">
        <v>1418</v>
      </c>
      <c r="CD13" s="9">
        <v>1370</v>
      </c>
      <c r="CE13" s="9">
        <v>1317</v>
      </c>
      <c r="CF13" s="9">
        <v>1335</v>
      </c>
      <c r="CG13" s="9">
        <v>1326</v>
      </c>
      <c r="CH13" s="13">
        <v>1354</v>
      </c>
      <c r="CI13" s="9">
        <v>1310</v>
      </c>
      <c r="CJ13" s="9">
        <v>1268</v>
      </c>
      <c r="CK13" s="9">
        <v>1231</v>
      </c>
      <c r="CL13" s="9">
        <v>1136</v>
      </c>
      <c r="CM13" s="9">
        <v>1067</v>
      </c>
      <c r="CN13" s="9">
        <v>1059</v>
      </c>
      <c r="CO13" s="9">
        <v>977</v>
      </c>
      <c r="CP13" s="9">
        <v>950</v>
      </c>
      <c r="CQ13" s="9">
        <v>971</v>
      </c>
      <c r="CR13" s="9">
        <v>1000</v>
      </c>
      <c r="CS13" s="9">
        <v>1091</v>
      </c>
      <c r="CT13" s="13">
        <v>1168</v>
      </c>
      <c r="CU13" s="9">
        <v>1192</v>
      </c>
      <c r="CV13" s="9">
        <v>1192</v>
      </c>
      <c r="CW13" s="9">
        <v>1168</v>
      </c>
      <c r="CX13" s="9">
        <v>1146</v>
      </c>
      <c r="CY13" s="9">
        <v>1120</v>
      </c>
      <c r="CZ13" s="9">
        <v>1120</v>
      </c>
      <c r="DA13" s="9">
        <v>1103</v>
      </c>
      <c r="DB13" s="9">
        <v>1122</v>
      </c>
      <c r="DC13" s="9">
        <v>1114</v>
      </c>
      <c r="DD13" s="9">
        <v>1168</v>
      </c>
      <c r="DE13" s="9">
        <v>1269</v>
      </c>
      <c r="DF13" s="13">
        <v>1332</v>
      </c>
      <c r="DG13" s="9">
        <v>1388</v>
      </c>
      <c r="DH13" s="9">
        <v>1398</v>
      </c>
      <c r="DI13" s="9">
        <v>1342</v>
      </c>
      <c r="DJ13" s="9">
        <v>1343</v>
      </c>
      <c r="DK13" s="9">
        <v>1315</v>
      </c>
      <c r="DL13" s="9">
        <v>1281</v>
      </c>
      <c r="DM13" s="9">
        <v>1250</v>
      </c>
      <c r="DN13" s="9">
        <v>1186</v>
      </c>
      <c r="DO13" s="9">
        <v>1187</v>
      </c>
      <c r="DP13" s="9">
        <v>1256</v>
      </c>
      <c r="DQ13" s="9">
        <v>1328</v>
      </c>
      <c r="DR13" s="13">
        <v>1370</v>
      </c>
      <c r="DS13" s="9">
        <v>1351</v>
      </c>
      <c r="DT13" s="9">
        <v>1352</v>
      </c>
      <c r="DU13" s="9">
        <v>1314</v>
      </c>
      <c r="DV13" s="9">
        <v>1295</v>
      </c>
      <c r="DW13" s="9">
        <v>1259</v>
      </c>
      <c r="DX13" s="9">
        <v>1245</v>
      </c>
      <c r="DY13" s="9">
        <v>1235</v>
      </c>
      <c r="DZ13" s="9">
        <v>1172</v>
      </c>
      <c r="EA13" s="9">
        <v>1166</v>
      </c>
      <c r="EB13" s="9">
        <v>1178</v>
      </c>
      <c r="EC13" s="9">
        <v>1226</v>
      </c>
      <c r="ED13" s="13">
        <v>1285</v>
      </c>
      <c r="EE13" s="9">
        <v>1287</v>
      </c>
      <c r="EF13" s="9">
        <v>1275</v>
      </c>
      <c r="EG13" s="9">
        <v>1305</v>
      </c>
      <c r="EH13" s="9">
        <v>1325</v>
      </c>
      <c r="EI13" s="9">
        <v>1305</v>
      </c>
      <c r="EJ13" s="9">
        <v>1326</v>
      </c>
      <c r="EK13" s="9">
        <v>1318</v>
      </c>
      <c r="EL13" s="9">
        <v>1323</v>
      </c>
      <c r="EM13" s="9">
        <v>1319</v>
      </c>
      <c r="EN13" s="9">
        <v>1376</v>
      </c>
      <c r="EO13" s="9">
        <v>1509</v>
      </c>
      <c r="EP13" s="13">
        <v>1581</v>
      </c>
      <c r="EQ13" s="9">
        <v>1591</v>
      </c>
      <c r="ER13" s="9">
        <v>1614</v>
      </c>
      <c r="ES13" s="9">
        <v>1609</v>
      </c>
      <c r="ET13" s="9">
        <v>1606</v>
      </c>
      <c r="EU13" s="9">
        <v>1581</v>
      </c>
      <c r="EV13" s="9">
        <v>1544</v>
      </c>
      <c r="EW13" s="9">
        <v>1503</v>
      </c>
      <c r="EX13" s="9">
        <v>1528</v>
      </c>
      <c r="EY13" s="9">
        <v>1555</v>
      </c>
      <c r="EZ13" s="9">
        <v>1607</v>
      </c>
      <c r="FA13" s="9">
        <v>1698</v>
      </c>
      <c r="FB13" s="13">
        <v>1750</v>
      </c>
      <c r="FC13" s="9">
        <v>1791</v>
      </c>
      <c r="FD13" s="36">
        <v>1781</v>
      </c>
      <c r="FE13" s="33">
        <v>1745</v>
      </c>
      <c r="FF13" s="33">
        <v>1663</v>
      </c>
      <c r="FG13" s="36">
        <v>1648</v>
      </c>
      <c r="FH13" s="36">
        <v>1611</v>
      </c>
      <c r="FI13" s="36">
        <v>1605</v>
      </c>
      <c r="FJ13" s="36">
        <v>1557</v>
      </c>
      <c r="FK13" s="36">
        <v>1570</v>
      </c>
      <c r="FL13" s="1">
        <v>1559</v>
      </c>
      <c r="FM13" s="1">
        <v>1583</v>
      </c>
      <c r="FN13" s="6">
        <v>1606</v>
      </c>
      <c r="FO13" s="1">
        <v>1562</v>
      </c>
      <c r="FP13" s="1">
        <v>1543</v>
      </c>
      <c r="FQ13" s="1">
        <v>1506</v>
      </c>
      <c r="FR13" s="1">
        <v>1446</v>
      </c>
      <c r="FS13" s="1">
        <v>1397</v>
      </c>
      <c r="FT13" s="1">
        <v>1375</v>
      </c>
      <c r="FU13" s="1">
        <v>1384</v>
      </c>
      <c r="FV13" s="1">
        <v>1336</v>
      </c>
      <c r="FW13" s="1">
        <v>1371</v>
      </c>
      <c r="FX13" s="1">
        <v>1410</v>
      </c>
      <c r="FY13" s="1">
        <v>1472</v>
      </c>
      <c r="FZ13" s="1">
        <v>1499</v>
      </c>
      <c r="GA13" s="48">
        <v>1456</v>
      </c>
      <c r="GB13" s="1">
        <v>1420</v>
      </c>
      <c r="GC13" s="1">
        <v>1405</v>
      </c>
      <c r="GD13" s="1">
        <v>1384</v>
      </c>
      <c r="GE13" s="1">
        <v>1381</v>
      </c>
      <c r="GF13" s="1">
        <v>1329</v>
      </c>
      <c r="GG13" s="1">
        <v>1319</v>
      </c>
      <c r="GH13" s="1">
        <v>1288</v>
      </c>
      <c r="GI13" s="1">
        <v>1313</v>
      </c>
      <c r="GJ13" s="1">
        <v>1372</v>
      </c>
      <c r="GK13" s="1">
        <v>1426</v>
      </c>
      <c r="GL13" s="1">
        <v>1472</v>
      </c>
      <c r="GM13" s="48">
        <v>1501</v>
      </c>
      <c r="GN13" s="1">
        <v>1476</v>
      </c>
      <c r="GO13" s="1">
        <v>1607</v>
      </c>
      <c r="GP13" s="1">
        <v>1718</v>
      </c>
      <c r="GQ13" s="1">
        <v>1724</v>
      </c>
      <c r="GR13" s="1">
        <v>1761</v>
      </c>
      <c r="GS13" s="1">
        <v>1791</v>
      </c>
      <c r="GT13" s="1">
        <v>1807</v>
      </c>
      <c r="GU13" s="1">
        <v>1795</v>
      </c>
      <c r="GV13" s="1">
        <v>1836</v>
      </c>
      <c r="GW13" s="1">
        <v>1939</v>
      </c>
      <c r="GX13" s="6">
        <v>2033</v>
      </c>
      <c r="GY13" s="1">
        <v>2086</v>
      </c>
      <c r="GZ13" s="1">
        <v>2090</v>
      </c>
      <c r="HA13" s="1">
        <v>2070</v>
      </c>
      <c r="HB13" s="1">
        <v>2036</v>
      </c>
      <c r="HC13" s="1">
        <v>2014</v>
      </c>
      <c r="HD13" s="1">
        <v>1969</v>
      </c>
      <c r="HE13" s="1">
        <v>1874</v>
      </c>
      <c r="HF13" s="1">
        <v>1842</v>
      </c>
      <c r="HG13" s="1">
        <v>1809</v>
      </c>
      <c r="HH13" s="1">
        <v>1784</v>
      </c>
      <c r="HI13" s="1">
        <v>1852</v>
      </c>
      <c r="HJ13" s="1">
        <v>1862</v>
      </c>
      <c r="HK13" s="48">
        <v>1841</v>
      </c>
      <c r="HL13" s="1">
        <v>1791</v>
      </c>
      <c r="HM13" s="1">
        <v>1737</v>
      </c>
      <c r="HN13" s="1">
        <v>1637</v>
      </c>
      <c r="HO13" s="1">
        <v>1597</v>
      </c>
      <c r="HP13" s="1">
        <v>1549</v>
      </c>
      <c r="HQ13" s="1">
        <v>1499</v>
      </c>
      <c r="HR13" s="1">
        <v>1409</v>
      </c>
      <c r="HS13" s="1">
        <v>1339</v>
      </c>
      <c r="HT13" s="1">
        <v>1330</v>
      </c>
      <c r="HU13" s="1">
        <v>1354</v>
      </c>
      <c r="HV13" s="1">
        <v>1381</v>
      </c>
      <c r="HW13" s="48">
        <v>1386</v>
      </c>
      <c r="HX13" s="1">
        <v>1354</v>
      </c>
      <c r="HY13" s="1">
        <v>1341</v>
      </c>
      <c r="HZ13" s="1">
        <v>1312</v>
      </c>
      <c r="IA13" s="1">
        <v>1311</v>
      </c>
      <c r="IB13" s="1">
        <v>1299</v>
      </c>
      <c r="IC13" s="1">
        <v>1314</v>
      </c>
      <c r="ID13" s="1">
        <v>1302</v>
      </c>
      <c r="IE13" s="1">
        <v>1285</v>
      </c>
      <c r="IF13" s="1">
        <v>1279</v>
      </c>
      <c r="IG13" s="1">
        <v>1365</v>
      </c>
      <c r="IH13" s="1">
        <v>1377</v>
      </c>
      <c r="II13" s="48">
        <v>1386</v>
      </c>
      <c r="IJ13" s="1">
        <v>1380</v>
      </c>
      <c r="IK13" s="1">
        <f>713+702</f>
        <v>1415</v>
      </c>
      <c r="IL13" s="1">
        <v>1458</v>
      </c>
      <c r="IM13" s="1">
        <v>1457</v>
      </c>
      <c r="IN13" s="1">
        <v>1463</v>
      </c>
      <c r="IO13" s="1">
        <v>1511</v>
      </c>
      <c r="IP13" s="1">
        <v>1496</v>
      </c>
      <c r="IQ13" s="1">
        <v>1553</v>
      </c>
      <c r="IR13" s="1">
        <v>1614</v>
      </c>
      <c r="IS13" s="1">
        <v>1709</v>
      </c>
      <c r="IT13" s="6">
        <v>1823</v>
      </c>
      <c r="IU13" s="1">
        <v>1873</v>
      </c>
      <c r="IV13" s="1">
        <v>1852</v>
      </c>
      <c r="IW13" s="1">
        <v>1824</v>
      </c>
      <c r="IX13" s="1">
        <v>1807</v>
      </c>
      <c r="IY13" s="1">
        <v>1774</v>
      </c>
      <c r="IZ13" s="1">
        <v>1849</v>
      </c>
      <c r="JA13" s="1">
        <v>1873</v>
      </c>
      <c r="JB13" s="1">
        <v>1861</v>
      </c>
      <c r="JC13" s="1">
        <v>1881</v>
      </c>
      <c r="JD13" s="1">
        <v>1942</v>
      </c>
      <c r="JE13" s="1">
        <v>2018</v>
      </c>
      <c r="JF13" s="1">
        <v>2026</v>
      </c>
      <c r="JG13" s="48">
        <v>2068</v>
      </c>
      <c r="JH13" s="1">
        <v>2044</v>
      </c>
      <c r="JI13" s="1">
        <v>2010</v>
      </c>
    </row>
    <row r="14" spans="1:269" ht="13.5" x14ac:dyDescent="0.25">
      <c r="A14" s="1" t="s">
        <v>39</v>
      </c>
      <c r="B14" s="1">
        <v>11</v>
      </c>
      <c r="C14" s="9">
        <v>1627</v>
      </c>
      <c r="D14" s="9">
        <v>1631</v>
      </c>
      <c r="E14" s="9">
        <v>1585</v>
      </c>
      <c r="F14" s="9">
        <v>1588</v>
      </c>
      <c r="G14" s="9">
        <v>1584</v>
      </c>
      <c r="H14" s="9">
        <v>1541</v>
      </c>
      <c r="I14" s="9">
        <v>1516</v>
      </c>
      <c r="J14" s="9">
        <v>1534</v>
      </c>
      <c r="K14" s="9">
        <v>1516</v>
      </c>
      <c r="L14" s="9">
        <f>374+427+310+374</f>
        <v>1485</v>
      </c>
      <c r="M14" s="9">
        <v>1556</v>
      </c>
      <c r="N14" s="13">
        <f>401+489+309+406</f>
        <v>1605</v>
      </c>
      <c r="O14" s="9">
        <f>395+323+491+400</f>
        <v>1609</v>
      </c>
      <c r="P14" s="9">
        <f>390+485+338+412</f>
        <v>1625</v>
      </c>
      <c r="Q14" s="9">
        <f>[4]Alter!Q40+[4]Alter!Q41</f>
        <v>1600</v>
      </c>
      <c r="R14" s="9">
        <f>374+347+457+395</f>
        <v>1573</v>
      </c>
      <c r="S14" s="9">
        <f>826+753</f>
        <v>1579</v>
      </c>
      <c r="T14" s="9">
        <v>1584</v>
      </c>
      <c r="U14" s="9">
        <f>360+447+359+384</f>
        <v>1550</v>
      </c>
      <c r="V14" s="9">
        <f>792+735</f>
        <v>1527</v>
      </c>
      <c r="W14" s="9">
        <v>1543</v>
      </c>
      <c r="X14" s="9">
        <f>368+362+426+380</f>
        <v>1536</v>
      </c>
      <c r="Y14" s="9">
        <v>1578</v>
      </c>
      <c r="Z14" s="13">
        <f>811+777</f>
        <v>1588</v>
      </c>
      <c r="AA14" s="9">
        <f>808+759</f>
        <v>1567</v>
      </c>
      <c r="AB14" s="9">
        <v>1572</v>
      </c>
      <c r="AC14" s="9">
        <f>807+744</f>
        <v>1551</v>
      </c>
      <c r="AD14" s="9">
        <f>798+707</f>
        <v>1505</v>
      </c>
      <c r="AE14" s="9">
        <f>780+670</f>
        <v>1450</v>
      </c>
      <c r="AF14" s="9">
        <v>1437</v>
      </c>
      <c r="AG14" s="9">
        <v>1418</v>
      </c>
      <c r="AH14" s="9">
        <v>1401</v>
      </c>
      <c r="AI14" s="9">
        <v>1363</v>
      </c>
      <c r="AJ14" s="9">
        <v>1323</v>
      </c>
      <c r="AK14" s="9">
        <v>1332</v>
      </c>
      <c r="AL14" s="13">
        <v>1366</v>
      </c>
      <c r="AM14" s="9">
        <v>1331</v>
      </c>
      <c r="AN14" s="9">
        <f>677+657</f>
        <v>1334</v>
      </c>
      <c r="AO14" s="9">
        <v>1286</v>
      </c>
      <c r="AP14" s="9">
        <v>1227</v>
      </c>
      <c r="AQ14" s="9">
        <v>1217</v>
      </c>
      <c r="AR14" s="9">
        <v>1199</v>
      </c>
      <c r="AS14" s="9">
        <v>1186</v>
      </c>
      <c r="AT14" s="9">
        <v>1181</v>
      </c>
      <c r="AU14" s="9">
        <v>1156</v>
      </c>
      <c r="AV14" s="9">
        <v>1150</v>
      </c>
      <c r="AW14" s="9">
        <v>1157</v>
      </c>
      <c r="AX14" s="13">
        <v>1193</v>
      </c>
      <c r="AY14" s="9">
        <v>1187</v>
      </c>
      <c r="AZ14" s="9">
        <v>1178</v>
      </c>
      <c r="BA14" s="9">
        <v>1144</v>
      </c>
      <c r="BB14" s="9">
        <v>1135</v>
      </c>
      <c r="BC14" s="9">
        <v>1085</v>
      </c>
      <c r="BD14" s="9">
        <v>1034</v>
      </c>
      <c r="BE14" s="9">
        <v>1005</v>
      </c>
      <c r="BF14" s="9">
        <v>981</v>
      </c>
      <c r="BG14" s="9">
        <v>1010</v>
      </c>
      <c r="BH14" s="9">
        <v>1034</v>
      </c>
      <c r="BI14" s="9">
        <v>1095</v>
      </c>
      <c r="BJ14" s="13">
        <v>1188</v>
      </c>
      <c r="BK14" s="9">
        <v>1261</v>
      </c>
      <c r="BL14" s="9">
        <v>1317</v>
      </c>
      <c r="BM14" s="9">
        <v>1385</v>
      </c>
      <c r="BN14" s="9">
        <v>1454</v>
      </c>
      <c r="BO14" s="9">
        <v>1507</v>
      </c>
      <c r="BP14" s="9">
        <v>1598</v>
      </c>
      <c r="BQ14" s="9">
        <v>1596</v>
      </c>
      <c r="BR14" s="9">
        <v>1616</v>
      </c>
      <c r="BS14" s="9">
        <v>1628</v>
      </c>
      <c r="BT14" s="9">
        <v>1657</v>
      </c>
      <c r="BU14" s="9">
        <v>1718</v>
      </c>
      <c r="BV14" s="13">
        <v>1809</v>
      </c>
      <c r="BW14" s="9">
        <v>1770</v>
      </c>
      <c r="BX14" s="9">
        <v>1757</v>
      </c>
      <c r="BY14" s="9">
        <v>1745</v>
      </c>
      <c r="BZ14" s="9">
        <v>1676</v>
      </c>
      <c r="CA14" s="9">
        <v>1642</v>
      </c>
      <c r="CB14" s="9">
        <v>1593</v>
      </c>
      <c r="CC14" s="9">
        <v>1557</v>
      </c>
      <c r="CD14" s="9">
        <v>1529</v>
      </c>
      <c r="CE14" s="9">
        <v>1490</v>
      </c>
      <c r="CF14" s="9">
        <v>1455</v>
      </c>
      <c r="CG14" s="9">
        <v>1432</v>
      </c>
      <c r="CH14" s="13">
        <v>1447</v>
      </c>
      <c r="CI14" s="9">
        <v>1415</v>
      </c>
      <c r="CJ14" s="9">
        <v>1379</v>
      </c>
      <c r="CK14" s="9">
        <v>1332</v>
      </c>
      <c r="CL14" s="9">
        <v>1215</v>
      </c>
      <c r="CM14" s="9">
        <v>1168</v>
      </c>
      <c r="CN14" s="9">
        <v>1154</v>
      </c>
      <c r="CO14" s="9">
        <v>1105</v>
      </c>
      <c r="CP14" s="9">
        <v>1118</v>
      </c>
      <c r="CQ14" s="9">
        <v>1127</v>
      </c>
      <c r="CR14" s="9">
        <v>1146</v>
      </c>
      <c r="CS14" s="9">
        <v>1198</v>
      </c>
      <c r="CT14" s="13">
        <v>1242</v>
      </c>
      <c r="CU14" s="9">
        <v>1228</v>
      </c>
      <c r="CV14" s="9">
        <v>1221</v>
      </c>
      <c r="CW14" s="9">
        <v>1201</v>
      </c>
      <c r="CX14" s="9">
        <v>1190</v>
      </c>
      <c r="CY14" s="9">
        <v>1175</v>
      </c>
      <c r="CZ14" s="9">
        <v>1157</v>
      </c>
      <c r="DA14" s="9">
        <v>1153</v>
      </c>
      <c r="DB14" s="9">
        <v>1143</v>
      </c>
      <c r="DC14" s="9">
        <v>1162</v>
      </c>
      <c r="DD14" s="9">
        <v>1226</v>
      </c>
      <c r="DE14" s="9">
        <v>1318</v>
      </c>
      <c r="DF14" s="13">
        <v>1380</v>
      </c>
      <c r="DG14" s="9">
        <v>1392</v>
      </c>
      <c r="DH14" s="9">
        <v>1402</v>
      </c>
      <c r="DI14" s="9">
        <v>1391</v>
      </c>
      <c r="DJ14" s="9">
        <v>1340</v>
      </c>
      <c r="DK14" s="9">
        <v>1323</v>
      </c>
      <c r="DL14" s="9">
        <v>1297</v>
      </c>
      <c r="DM14" s="9">
        <v>1266</v>
      </c>
      <c r="DN14" s="9">
        <v>1239</v>
      </c>
      <c r="DO14" s="9">
        <v>1240</v>
      </c>
      <c r="DP14" s="9">
        <v>1271</v>
      </c>
      <c r="DQ14" s="9">
        <v>1298</v>
      </c>
      <c r="DR14" s="13">
        <v>1307</v>
      </c>
      <c r="DS14" s="9">
        <v>1309</v>
      </c>
      <c r="DT14" s="9">
        <v>1308</v>
      </c>
      <c r="DU14" s="9">
        <v>1292</v>
      </c>
      <c r="DV14" s="9">
        <v>1253</v>
      </c>
      <c r="DW14" s="9">
        <v>1207</v>
      </c>
      <c r="DX14" s="9">
        <v>1182</v>
      </c>
      <c r="DY14" s="9">
        <v>1176</v>
      </c>
      <c r="DZ14" s="9">
        <v>1133</v>
      </c>
      <c r="EA14" s="9">
        <v>1111</v>
      </c>
      <c r="EB14" s="9">
        <v>1129</v>
      </c>
      <c r="EC14" s="9">
        <v>1177</v>
      </c>
      <c r="ED14" s="13">
        <v>1257</v>
      </c>
      <c r="EE14" s="9">
        <v>1219</v>
      </c>
      <c r="EF14" s="9">
        <v>1228</v>
      </c>
      <c r="EG14" s="9">
        <v>1239</v>
      </c>
      <c r="EH14" s="9">
        <v>1244</v>
      </c>
      <c r="EI14" s="9">
        <v>1211</v>
      </c>
      <c r="EJ14" s="9">
        <v>1203</v>
      </c>
      <c r="EK14" s="9">
        <v>1211</v>
      </c>
      <c r="EL14" s="9">
        <v>1204</v>
      </c>
      <c r="EM14" s="9">
        <v>1246</v>
      </c>
      <c r="EN14" s="9">
        <v>1284</v>
      </c>
      <c r="EO14" s="9">
        <v>1398</v>
      </c>
      <c r="EP14" s="13">
        <v>1461</v>
      </c>
      <c r="EQ14" s="9">
        <v>1436</v>
      </c>
      <c r="ER14" s="9">
        <v>1433</v>
      </c>
      <c r="ES14" s="9">
        <v>1424</v>
      </c>
      <c r="ET14" s="9">
        <v>1390</v>
      </c>
      <c r="EU14" s="9">
        <v>1367</v>
      </c>
      <c r="EV14" s="9">
        <v>1371</v>
      </c>
      <c r="EW14" s="9">
        <v>1361</v>
      </c>
      <c r="EX14" s="9">
        <v>1352</v>
      </c>
      <c r="EY14" s="9">
        <v>1368</v>
      </c>
      <c r="EZ14" s="9">
        <v>1380</v>
      </c>
      <c r="FA14" s="9">
        <v>1431</v>
      </c>
      <c r="FB14" s="13">
        <v>1454</v>
      </c>
      <c r="FC14" s="9">
        <v>1441</v>
      </c>
      <c r="FD14" s="36">
        <v>1430</v>
      </c>
      <c r="FE14" s="33">
        <v>1419</v>
      </c>
      <c r="FF14" s="33">
        <v>1400</v>
      </c>
      <c r="FG14" s="36">
        <v>1371</v>
      </c>
      <c r="FH14" s="36">
        <v>1339</v>
      </c>
      <c r="FI14" s="36">
        <v>1308</v>
      </c>
      <c r="FJ14" s="36">
        <v>1290</v>
      </c>
      <c r="FK14" s="36">
        <v>1268</v>
      </c>
      <c r="FL14" s="1">
        <v>1255</v>
      </c>
      <c r="FM14" s="1">
        <v>1306</v>
      </c>
      <c r="FN14" s="6">
        <v>1326</v>
      </c>
      <c r="FO14" s="1">
        <v>1354</v>
      </c>
      <c r="FP14" s="1">
        <v>1280</v>
      </c>
      <c r="FQ14" s="1">
        <v>1280</v>
      </c>
      <c r="FR14" s="1">
        <v>1242</v>
      </c>
      <c r="FS14" s="1">
        <v>1197</v>
      </c>
      <c r="FT14" s="1">
        <v>1166</v>
      </c>
      <c r="FU14" s="1">
        <v>1154</v>
      </c>
      <c r="FV14" s="1">
        <v>1148</v>
      </c>
      <c r="FW14" s="1">
        <v>1157</v>
      </c>
      <c r="FX14" s="1">
        <v>1146</v>
      </c>
      <c r="FY14" s="1">
        <v>1172</v>
      </c>
      <c r="FZ14" s="1">
        <v>1220</v>
      </c>
      <c r="GA14" s="48">
        <v>1209</v>
      </c>
      <c r="GB14" s="1">
        <v>1186</v>
      </c>
      <c r="GC14" s="1">
        <v>1185</v>
      </c>
      <c r="GD14" s="1">
        <v>1133</v>
      </c>
      <c r="GE14" s="1">
        <v>1091</v>
      </c>
      <c r="GF14" s="1">
        <v>1069</v>
      </c>
      <c r="GG14" s="1">
        <v>1046</v>
      </c>
      <c r="GH14" s="1">
        <v>1025</v>
      </c>
      <c r="GI14" s="1">
        <v>1045</v>
      </c>
      <c r="GJ14" s="1">
        <v>1085</v>
      </c>
      <c r="GK14" s="1">
        <v>1171</v>
      </c>
      <c r="GL14" s="1">
        <v>1249</v>
      </c>
      <c r="GM14" s="48">
        <v>1246</v>
      </c>
      <c r="GN14" s="1">
        <v>1217</v>
      </c>
      <c r="GO14" s="1">
        <v>1340</v>
      </c>
      <c r="GP14" s="1">
        <v>1419</v>
      </c>
      <c r="GQ14" s="1">
        <v>1461</v>
      </c>
      <c r="GR14" s="1">
        <v>1490</v>
      </c>
      <c r="GS14" s="1">
        <v>1548</v>
      </c>
      <c r="GT14" s="1">
        <v>1570</v>
      </c>
      <c r="GU14" s="1">
        <v>1608</v>
      </c>
      <c r="GV14" s="1">
        <v>1626</v>
      </c>
      <c r="GW14" s="1">
        <v>1675</v>
      </c>
      <c r="GX14" s="6">
        <v>1759</v>
      </c>
      <c r="GY14" s="1">
        <v>1739</v>
      </c>
      <c r="GZ14" s="1">
        <v>1739</v>
      </c>
      <c r="HA14" s="1">
        <v>1733</v>
      </c>
      <c r="HB14" s="1">
        <v>1720</v>
      </c>
      <c r="HC14" s="1">
        <v>1663</v>
      </c>
      <c r="HD14" s="1">
        <v>1615</v>
      </c>
      <c r="HE14" s="1">
        <v>1531</v>
      </c>
      <c r="HF14" s="1">
        <v>1497</v>
      </c>
      <c r="HG14" s="1">
        <v>1488</v>
      </c>
      <c r="HH14" s="1">
        <v>1482</v>
      </c>
      <c r="HI14" s="1">
        <v>1521</v>
      </c>
      <c r="HJ14" s="1">
        <v>1535</v>
      </c>
      <c r="HK14" s="48">
        <v>1469</v>
      </c>
      <c r="HL14" s="1">
        <v>1460</v>
      </c>
      <c r="HM14" s="1">
        <v>1412</v>
      </c>
      <c r="HN14" s="1">
        <v>1328</v>
      </c>
      <c r="HO14" s="1">
        <v>1278</v>
      </c>
      <c r="HP14" s="1">
        <v>1229</v>
      </c>
      <c r="HQ14" s="1">
        <v>1147</v>
      </c>
      <c r="HR14" s="1">
        <v>1127</v>
      </c>
      <c r="HS14" s="1">
        <v>1077</v>
      </c>
      <c r="HT14" s="1">
        <v>1084</v>
      </c>
      <c r="HU14" s="1">
        <v>1101</v>
      </c>
      <c r="HV14" s="1">
        <v>1113</v>
      </c>
      <c r="HW14" s="48">
        <v>1130</v>
      </c>
      <c r="HX14" s="1">
        <v>1153</v>
      </c>
      <c r="HY14" s="1">
        <v>1103</v>
      </c>
      <c r="HZ14" s="1">
        <v>1059</v>
      </c>
      <c r="IA14" s="1">
        <v>1021</v>
      </c>
      <c r="IB14" s="1">
        <v>987</v>
      </c>
      <c r="IC14" s="1">
        <v>983</v>
      </c>
      <c r="ID14" s="1">
        <v>1001</v>
      </c>
      <c r="IE14" s="1">
        <v>1001</v>
      </c>
      <c r="IF14" s="1">
        <v>1047</v>
      </c>
      <c r="IG14" s="1">
        <v>1101</v>
      </c>
      <c r="IH14" s="1">
        <v>1137</v>
      </c>
      <c r="II14" s="48">
        <v>1171</v>
      </c>
      <c r="IJ14" s="1">
        <v>1181</v>
      </c>
      <c r="IK14" s="1">
        <f>635+543</f>
        <v>1178</v>
      </c>
      <c r="IL14" s="1">
        <v>1188</v>
      </c>
      <c r="IM14" s="1">
        <v>1212</v>
      </c>
      <c r="IN14" s="1">
        <v>1213</v>
      </c>
      <c r="IO14" s="1">
        <v>1223</v>
      </c>
      <c r="IP14" s="1">
        <v>1194</v>
      </c>
      <c r="IQ14" s="1">
        <v>1239</v>
      </c>
      <c r="IR14" s="1">
        <v>1309</v>
      </c>
      <c r="IS14" s="1">
        <v>1410</v>
      </c>
      <c r="IT14" s="6">
        <v>1475</v>
      </c>
      <c r="IU14" s="1">
        <v>1537</v>
      </c>
      <c r="IV14" s="1">
        <v>1576</v>
      </c>
      <c r="IW14" s="1">
        <v>1594</v>
      </c>
      <c r="IX14" s="1">
        <v>1583</v>
      </c>
      <c r="IY14" s="1">
        <v>1557</v>
      </c>
      <c r="IZ14" s="1">
        <v>1570</v>
      </c>
      <c r="JA14" s="1">
        <v>1561</v>
      </c>
      <c r="JB14" s="1">
        <v>1557</v>
      </c>
      <c r="JC14" s="1">
        <v>1608</v>
      </c>
      <c r="JD14" s="1">
        <v>1681</v>
      </c>
      <c r="JE14" s="1">
        <v>1722</v>
      </c>
      <c r="JF14" s="1">
        <v>1765</v>
      </c>
      <c r="JG14" s="48">
        <v>1763</v>
      </c>
      <c r="JH14" s="1">
        <v>1749</v>
      </c>
      <c r="JI14" s="1">
        <v>1749</v>
      </c>
    </row>
    <row r="15" spans="1:269" ht="13.5" x14ac:dyDescent="0.25">
      <c r="A15" s="1" t="s">
        <v>40</v>
      </c>
      <c r="B15" s="1">
        <v>12</v>
      </c>
      <c r="C15" s="9">
        <v>1101</v>
      </c>
      <c r="D15" s="9">
        <v>1116</v>
      </c>
      <c r="E15" s="9">
        <v>1110</v>
      </c>
      <c r="F15" s="9">
        <v>1104</v>
      </c>
      <c r="G15" s="9">
        <v>1120</v>
      </c>
      <c r="H15" s="9">
        <v>1134</v>
      </c>
      <c r="I15" s="9">
        <v>1113</v>
      </c>
      <c r="J15" s="9">
        <v>1094</v>
      </c>
      <c r="K15" s="9">
        <v>1069</v>
      </c>
      <c r="L15" s="9">
        <f>233+320+213+298</f>
        <v>1064</v>
      </c>
      <c r="M15" s="9">
        <v>1112</v>
      </c>
      <c r="N15" s="13">
        <f>254+366+225+313</f>
        <v>1158</v>
      </c>
      <c r="O15" s="9">
        <f>257+221+364+322</f>
        <v>1164</v>
      </c>
      <c r="P15" s="9">
        <f>268+370+228+320</f>
        <v>1186</v>
      </c>
      <c r="Q15" s="9">
        <f>[4]Alter!Q42+[4]Alter!Q43</f>
        <v>1186</v>
      </c>
      <c r="R15" s="9">
        <f>256+362+228+324</f>
        <v>1170</v>
      </c>
      <c r="S15" s="9">
        <f>617+549</f>
        <v>1166</v>
      </c>
      <c r="T15" s="9">
        <v>1152</v>
      </c>
      <c r="U15" s="9">
        <f>261+354+228+303</f>
        <v>1146</v>
      </c>
      <c r="V15" s="9">
        <f>602+530</f>
        <v>1132</v>
      </c>
      <c r="W15" s="9">
        <v>1133</v>
      </c>
      <c r="X15" s="9">
        <f>243+230+351+322</f>
        <v>1146</v>
      </c>
      <c r="Y15" s="9">
        <v>1152</v>
      </c>
      <c r="Z15" s="13">
        <f>613+539</f>
        <v>1152</v>
      </c>
      <c r="AA15" s="9">
        <f>604+554</f>
        <v>1158</v>
      </c>
      <c r="AB15" s="9">
        <v>1144</v>
      </c>
      <c r="AC15" s="9">
        <f>594+549</f>
        <v>1143</v>
      </c>
      <c r="AD15" s="9">
        <f>587+527</f>
        <v>1114</v>
      </c>
      <c r="AE15" s="9">
        <f>562+521</f>
        <v>1083</v>
      </c>
      <c r="AF15" s="9">
        <v>1077</v>
      </c>
      <c r="AG15" s="9">
        <v>1048</v>
      </c>
      <c r="AH15" s="9">
        <v>986</v>
      </c>
      <c r="AI15" s="9">
        <v>991</v>
      </c>
      <c r="AJ15" s="9">
        <v>987</v>
      </c>
      <c r="AK15" s="9">
        <v>975</v>
      </c>
      <c r="AL15" s="13">
        <v>999</v>
      </c>
      <c r="AM15" s="9">
        <v>986</v>
      </c>
      <c r="AN15" s="9">
        <f>499+472</f>
        <v>971</v>
      </c>
      <c r="AO15" s="9">
        <v>935</v>
      </c>
      <c r="AP15" s="9">
        <v>916</v>
      </c>
      <c r="AQ15" s="9">
        <v>892</v>
      </c>
      <c r="AR15" s="9">
        <v>896</v>
      </c>
      <c r="AS15" s="9">
        <v>888</v>
      </c>
      <c r="AT15" s="9">
        <v>862</v>
      </c>
      <c r="AU15" s="9">
        <v>844</v>
      </c>
      <c r="AV15" s="9">
        <v>833</v>
      </c>
      <c r="AW15" s="9">
        <v>867</v>
      </c>
      <c r="AX15" s="13">
        <v>902</v>
      </c>
      <c r="AY15" s="9">
        <v>880</v>
      </c>
      <c r="AZ15" s="9">
        <v>846</v>
      </c>
      <c r="BA15" s="9">
        <v>874</v>
      </c>
      <c r="BB15" s="9">
        <v>860</v>
      </c>
      <c r="BC15" s="9">
        <v>821</v>
      </c>
      <c r="BD15" s="9">
        <v>795</v>
      </c>
      <c r="BE15" s="9">
        <v>769</v>
      </c>
      <c r="BF15" s="9">
        <v>733</v>
      </c>
      <c r="BG15" s="9">
        <v>743</v>
      </c>
      <c r="BH15" s="9">
        <v>786</v>
      </c>
      <c r="BI15" s="9">
        <v>808</v>
      </c>
      <c r="BJ15" s="13">
        <v>869</v>
      </c>
      <c r="BK15" s="9">
        <v>934</v>
      </c>
      <c r="BL15" s="9">
        <v>976</v>
      </c>
      <c r="BM15" s="9">
        <v>1066</v>
      </c>
      <c r="BN15" s="9">
        <v>1092</v>
      </c>
      <c r="BO15" s="9">
        <v>1148</v>
      </c>
      <c r="BP15" s="9">
        <v>1222</v>
      </c>
      <c r="BQ15" s="9">
        <v>1236</v>
      </c>
      <c r="BR15" s="9">
        <v>1218</v>
      </c>
      <c r="BS15" s="9">
        <v>1262</v>
      </c>
      <c r="BT15" s="9">
        <v>1288</v>
      </c>
      <c r="BU15" s="9">
        <v>1349</v>
      </c>
      <c r="BV15" s="13">
        <v>1429</v>
      </c>
      <c r="BW15" s="9">
        <v>1440</v>
      </c>
      <c r="BX15" s="9">
        <v>1447</v>
      </c>
      <c r="BY15" s="9">
        <v>1488</v>
      </c>
      <c r="BZ15" s="9">
        <v>1446</v>
      </c>
      <c r="CA15" s="9">
        <v>1406</v>
      </c>
      <c r="CB15" s="9">
        <v>1380</v>
      </c>
      <c r="CC15" s="9">
        <v>1325</v>
      </c>
      <c r="CD15" s="9">
        <v>1313</v>
      </c>
      <c r="CE15" s="9">
        <v>1286</v>
      </c>
      <c r="CF15" s="9">
        <v>1262</v>
      </c>
      <c r="CG15" s="9">
        <v>1245</v>
      </c>
      <c r="CH15" s="13">
        <v>1269</v>
      </c>
      <c r="CI15" s="9">
        <v>1238</v>
      </c>
      <c r="CJ15" s="9">
        <v>1203</v>
      </c>
      <c r="CK15" s="9">
        <v>1201</v>
      </c>
      <c r="CL15" s="9">
        <v>1148</v>
      </c>
      <c r="CM15" s="9">
        <v>1065</v>
      </c>
      <c r="CN15" s="9">
        <v>1036</v>
      </c>
      <c r="CO15" s="9">
        <v>982</v>
      </c>
      <c r="CP15" s="9">
        <v>1009</v>
      </c>
      <c r="CQ15" s="9">
        <v>999</v>
      </c>
      <c r="CR15" s="9">
        <v>1010</v>
      </c>
      <c r="CS15" s="9">
        <v>1060</v>
      </c>
      <c r="CT15" s="13">
        <v>1085</v>
      </c>
      <c r="CU15" s="9">
        <v>1099</v>
      </c>
      <c r="CV15" s="9">
        <v>1093</v>
      </c>
      <c r="CW15" s="9">
        <v>1067</v>
      </c>
      <c r="CX15" s="9">
        <v>1062</v>
      </c>
      <c r="CY15" s="9">
        <v>1051</v>
      </c>
      <c r="CZ15" s="9">
        <v>1053</v>
      </c>
      <c r="DA15" s="9">
        <v>1060</v>
      </c>
      <c r="DB15" s="9">
        <v>1060</v>
      </c>
      <c r="DC15" s="9">
        <v>1073</v>
      </c>
      <c r="DD15" s="9">
        <v>1106</v>
      </c>
      <c r="DE15" s="9">
        <v>1186</v>
      </c>
      <c r="DF15" s="13">
        <v>1249</v>
      </c>
      <c r="DG15" s="9">
        <v>1276</v>
      </c>
      <c r="DH15" s="9">
        <v>1256</v>
      </c>
      <c r="DI15" s="9">
        <v>1230</v>
      </c>
      <c r="DJ15" s="9">
        <v>1222</v>
      </c>
      <c r="DK15" s="9">
        <v>1203</v>
      </c>
      <c r="DL15" s="9">
        <v>1189</v>
      </c>
      <c r="DM15" s="9">
        <v>1191</v>
      </c>
      <c r="DN15" s="9">
        <v>1168</v>
      </c>
      <c r="DO15" s="9">
        <v>1128</v>
      </c>
      <c r="DP15" s="9">
        <v>1146</v>
      </c>
      <c r="DQ15" s="9">
        <v>1193</v>
      </c>
      <c r="DR15" s="13">
        <v>1238</v>
      </c>
      <c r="DS15" s="9">
        <v>1197</v>
      </c>
      <c r="DT15" s="9">
        <v>1179</v>
      </c>
      <c r="DU15" s="9">
        <v>1167</v>
      </c>
      <c r="DV15" s="9">
        <v>1145</v>
      </c>
      <c r="DW15" s="9">
        <v>1119</v>
      </c>
      <c r="DX15" s="9">
        <v>1087</v>
      </c>
      <c r="DY15" s="9">
        <v>1073</v>
      </c>
      <c r="DZ15" s="9">
        <v>1017</v>
      </c>
      <c r="EA15" s="9">
        <v>1029</v>
      </c>
      <c r="EB15" s="9">
        <v>1038</v>
      </c>
      <c r="EC15" s="9">
        <v>1073</v>
      </c>
      <c r="ED15" s="13">
        <v>1099</v>
      </c>
      <c r="EE15" s="9">
        <v>1118</v>
      </c>
      <c r="EF15" s="9">
        <v>1141</v>
      </c>
      <c r="EG15" s="9">
        <v>1170</v>
      </c>
      <c r="EH15" s="9">
        <v>1202</v>
      </c>
      <c r="EI15" s="9">
        <v>1193</v>
      </c>
      <c r="EJ15" s="9">
        <v>1217</v>
      </c>
      <c r="EK15" s="9">
        <v>1216</v>
      </c>
      <c r="EL15" s="9">
        <v>1223</v>
      </c>
      <c r="EM15" s="9">
        <v>1256</v>
      </c>
      <c r="EN15" s="9">
        <v>1289</v>
      </c>
      <c r="EO15" s="9">
        <v>1355</v>
      </c>
      <c r="EP15" s="13">
        <v>1395</v>
      </c>
      <c r="EQ15" s="9">
        <v>1387</v>
      </c>
      <c r="ER15" s="9">
        <v>1427</v>
      </c>
      <c r="ES15" s="9">
        <v>1417</v>
      </c>
      <c r="ET15" s="9">
        <v>1400</v>
      </c>
      <c r="EU15" s="9">
        <v>1430</v>
      </c>
      <c r="EV15" s="9">
        <v>1441</v>
      </c>
      <c r="EW15" s="9">
        <v>1410</v>
      </c>
      <c r="EX15" s="9">
        <v>1413</v>
      </c>
      <c r="EY15" s="9">
        <v>1417</v>
      </c>
      <c r="EZ15" s="9">
        <v>1428</v>
      </c>
      <c r="FA15" s="9">
        <v>1477</v>
      </c>
      <c r="FB15" s="13">
        <v>1531</v>
      </c>
      <c r="FC15" s="9">
        <v>1545</v>
      </c>
      <c r="FD15" s="36">
        <v>1541</v>
      </c>
      <c r="FE15" s="33">
        <v>1576</v>
      </c>
      <c r="FF15" s="33">
        <v>1540</v>
      </c>
      <c r="FG15" s="36">
        <v>1531</v>
      </c>
      <c r="FH15" s="36">
        <v>1533</v>
      </c>
      <c r="FI15" s="36">
        <v>1539</v>
      </c>
      <c r="FJ15" s="36">
        <v>1527</v>
      </c>
      <c r="FK15" s="36">
        <v>1525</v>
      </c>
      <c r="FL15" s="1">
        <v>1502</v>
      </c>
      <c r="FM15" s="1">
        <v>1565</v>
      </c>
      <c r="FN15" s="6">
        <v>1597</v>
      </c>
      <c r="FO15" s="1">
        <v>1587</v>
      </c>
      <c r="FP15" s="1">
        <v>1573</v>
      </c>
      <c r="FQ15" s="1">
        <v>1582</v>
      </c>
      <c r="FR15" s="1">
        <v>1534</v>
      </c>
      <c r="FS15" s="1">
        <v>1489</v>
      </c>
      <c r="FT15" s="1">
        <v>1357</v>
      </c>
      <c r="FU15" s="1">
        <v>1321</v>
      </c>
      <c r="FV15" s="1">
        <v>1262</v>
      </c>
      <c r="FW15" s="1">
        <v>1237</v>
      </c>
      <c r="FX15" s="1">
        <v>1280</v>
      </c>
      <c r="FY15" s="1">
        <v>1297</v>
      </c>
      <c r="FZ15" s="1">
        <v>1290</v>
      </c>
      <c r="GA15" s="48">
        <v>1299</v>
      </c>
      <c r="GB15" s="1">
        <v>1289</v>
      </c>
      <c r="GC15" s="1">
        <v>1274</v>
      </c>
      <c r="GD15" s="1">
        <v>1266</v>
      </c>
      <c r="GE15" s="1">
        <v>1246</v>
      </c>
      <c r="GF15" s="1">
        <v>1219</v>
      </c>
      <c r="GG15" s="1">
        <v>1188</v>
      </c>
      <c r="GH15" s="1">
        <v>1162</v>
      </c>
      <c r="GI15" s="1">
        <v>1163</v>
      </c>
      <c r="GJ15" s="1">
        <v>1173</v>
      </c>
      <c r="GK15" s="1">
        <v>1205</v>
      </c>
      <c r="GL15" s="1">
        <v>1259</v>
      </c>
      <c r="GM15" s="48">
        <v>1301</v>
      </c>
      <c r="GN15" s="1">
        <v>1300</v>
      </c>
      <c r="GO15" s="1">
        <v>1381</v>
      </c>
      <c r="GP15" s="1">
        <v>1455</v>
      </c>
      <c r="GQ15" s="1">
        <v>1522</v>
      </c>
      <c r="GR15" s="1">
        <v>1600</v>
      </c>
      <c r="GS15" s="1">
        <v>1635</v>
      </c>
      <c r="GT15" s="1">
        <v>1658</v>
      </c>
      <c r="GU15" s="1">
        <v>1681</v>
      </c>
      <c r="GV15" s="1">
        <v>1725</v>
      </c>
      <c r="GW15" s="1">
        <v>1809</v>
      </c>
      <c r="GX15" s="6">
        <v>1860</v>
      </c>
      <c r="GY15" s="1">
        <v>1854</v>
      </c>
      <c r="GZ15" s="1">
        <v>1835</v>
      </c>
      <c r="HA15" s="1">
        <v>1846</v>
      </c>
      <c r="HB15" s="1">
        <v>1817</v>
      </c>
      <c r="HC15" s="1">
        <v>1785</v>
      </c>
      <c r="HD15" s="1">
        <v>1751</v>
      </c>
      <c r="HE15" s="1">
        <v>1712</v>
      </c>
      <c r="HF15" s="1">
        <v>1660</v>
      </c>
      <c r="HG15" s="1">
        <v>1617</v>
      </c>
      <c r="HH15" s="1">
        <v>1580</v>
      </c>
      <c r="HI15" s="1">
        <v>1603</v>
      </c>
      <c r="HJ15" s="1">
        <v>1601</v>
      </c>
      <c r="HK15" s="48">
        <v>1573</v>
      </c>
      <c r="HL15" s="1">
        <v>1562</v>
      </c>
      <c r="HM15" s="1">
        <v>1522</v>
      </c>
      <c r="HN15" s="1">
        <v>1455</v>
      </c>
      <c r="HO15" s="1">
        <v>1388</v>
      </c>
      <c r="HP15" s="1">
        <v>1319</v>
      </c>
      <c r="HQ15" s="1">
        <v>1283</v>
      </c>
      <c r="HR15" s="1">
        <v>1257</v>
      </c>
      <c r="HS15" s="1">
        <v>1200</v>
      </c>
      <c r="HT15" s="1">
        <v>1169</v>
      </c>
      <c r="HU15" s="1">
        <v>1189</v>
      </c>
      <c r="HV15" s="1">
        <v>1207</v>
      </c>
      <c r="HW15" s="48">
        <v>1167</v>
      </c>
      <c r="HX15" s="1">
        <v>1152</v>
      </c>
      <c r="HY15" s="1">
        <v>1103</v>
      </c>
      <c r="HZ15" s="1">
        <v>1055</v>
      </c>
      <c r="IA15" s="1">
        <v>1023</v>
      </c>
      <c r="IB15" s="1">
        <v>993</v>
      </c>
      <c r="IC15" s="1">
        <v>985</v>
      </c>
      <c r="ID15" s="1">
        <v>980</v>
      </c>
      <c r="IE15" s="1">
        <v>981</v>
      </c>
      <c r="IF15" s="1">
        <v>1036</v>
      </c>
      <c r="IG15" s="1">
        <v>1154</v>
      </c>
      <c r="IH15" s="1">
        <v>1178</v>
      </c>
      <c r="II15" s="48">
        <v>1225</v>
      </c>
      <c r="IJ15" s="1">
        <v>1247</v>
      </c>
      <c r="IK15" s="1">
        <f>588+646</f>
        <v>1234</v>
      </c>
      <c r="IL15" s="1">
        <v>1233</v>
      </c>
      <c r="IM15" s="1">
        <v>1216</v>
      </c>
      <c r="IN15" s="1">
        <v>1240</v>
      </c>
      <c r="IO15" s="1">
        <v>1257</v>
      </c>
      <c r="IP15" s="1">
        <v>1240</v>
      </c>
      <c r="IQ15" s="1">
        <v>1263</v>
      </c>
      <c r="IR15" s="1">
        <v>1298</v>
      </c>
      <c r="IS15" s="1">
        <v>1362</v>
      </c>
      <c r="IT15" s="6">
        <v>1401</v>
      </c>
      <c r="IU15" s="1">
        <v>1453</v>
      </c>
      <c r="IV15" s="1">
        <v>1451</v>
      </c>
      <c r="IW15" s="1">
        <v>1489</v>
      </c>
      <c r="IX15" s="1">
        <v>1460</v>
      </c>
      <c r="IY15" s="1">
        <v>1470</v>
      </c>
      <c r="IZ15" s="1">
        <v>1463</v>
      </c>
      <c r="JA15" s="1">
        <v>1451</v>
      </c>
      <c r="JB15" s="1">
        <v>1444</v>
      </c>
      <c r="JC15" s="1">
        <v>1438</v>
      </c>
      <c r="JD15" s="1">
        <v>1456</v>
      </c>
      <c r="JE15" s="1">
        <v>1466</v>
      </c>
      <c r="JF15" s="1">
        <v>1533</v>
      </c>
      <c r="JG15" s="48">
        <v>1570</v>
      </c>
      <c r="JH15" s="1">
        <v>1557</v>
      </c>
      <c r="JI15" s="1">
        <v>1574</v>
      </c>
    </row>
    <row r="16" spans="1:269" ht="13.5" x14ac:dyDescent="0.25">
      <c r="A16" s="1" t="s">
        <v>41</v>
      </c>
      <c r="B16" s="1">
        <v>13</v>
      </c>
      <c r="C16" s="9">
        <v>355</v>
      </c>
      <c r="D16" s="9">
        <v>357</v>
      </c>
      <c r="E16" s="9">
        <v>362</v>
      </c>
      <c r="F16" s="9">
        <v>355</v>
      </c>
      <c r="G16" s="9">
        <v>344</v>
      </c>
      <c r="H16" s="9">
        <v>344</v>
      </c>
      <c r="I16" s="9">
        <v>333</v>
      </c>
      <c r="J16" s="9">
        <v>331</v>
      </c>
      <c r="K16" s="9">
        <v>327</v>
      </c>
      <c r="L16" s="9">
        <f>91+237+3</f>
        <v>331</v>
      </c>
      <c r="M16" s="9">
        <v>344</v>
      </c>
      <c r="N16" s="13">
        <f>101+240+10</f>
        <v>351</v>
      </c>
      <c r="O16" s="9">
        <f>102+242+4</f>
        <v>348</v>
      </c>
      <c r="P16" s="9">
        <f>109+239+5</f>
        <v>353</v>
      </c>
      <c r="Q16" s="9">
        <f>[4]Alter!Q44+[4]Alter!Q45</f>
        <v>361</v>
      </c>
      <c r="R16" s="9">
        <f>120+243+2</f>
        <v>365</v>
      </c>
      <c r="S16" s="9">
        <v>374</v>
      </c>
      <c r="T16" s="9">
        <v>375</v>
      </c>
      <c r="U16" s="9">
        <f>121+244+7</f>
        <v>372</v>
      </c>
      <c r="V16" s="9">
        <f>365+6</f>
        <v>371</v>
      </c>
      <c r="W16" s="9">
        <v>387</v>
      </c>
      <c r="X16" s="9">
        <f>136+241+9</f>
        <v>386</v>
      </c>
      <c r="Y16" s="9">
        <v>393</v>
      </c>
      <c r="Z16" s="13">
        <f>393+7</f>
        <v>400</v>
      </c>
      <c r="AA16" s="9">
        <v>404</v>
      </c>
      <c r="AB16" s="9">
        <v>417</v>
      </c>
      <c r="AC16" s="9">
        <f>417+6</f>
        <v>423</v>
      </c>
      <c r="AD16" s="9">
        <f>420+3</f>
        <v>423</v>
      </c>
      <c r="AE16" s="9">
        <f>427+4</f>
        <v>431</v>
      </c>
      <c r="AF16" s="9">
        <v>433</v>
      </c>
      <c r="AG16" s="9">
        <v>430</v>
      </c>
      <c r="AH16" s="9">
        <v>436</v>
      </c>
      <c r="AI16" s="9">
        <v>432</v>
      </c>
      <c r="AJ16" s="9">
        <v>425</v>
      </c>
      <c r="AK16" s="9">
        <v>422</v>
      </c>
      <c r="AL16" s="13">
        <v>426</v>
      </c>
      <c r="AM16" s="9">
        <v>426</v>
      </c>
      <c r="AN16" s="9">
        <f>426+3</f>
        <v>429</v>
      </c>
      <c r="AO16" s="9">
        <v>442</v>
      </c>
      <c r="AP16" s="9">
        <v>436</v>
      </c>
      <c r="AQ16" s="9">
        <v>436</v>
      </c>
      <c r="AR16" s="9">
        <v>426</v>
      </c>
      <c r="AS16" s="9">
        <v>420</v>
      </c>
      <c r="AT16" s="9">
        <v>412</v>
      </c>
      <c r="AU16" s="9">
        <v>410</v>
      </c>
      <c r="AV16" s="9">
        <v>401</v>
      </c>
      <c r="AW16" s="9">
        <v>406</v>
      </c>
      <c r="AX16" s="13">
        <v>401</v>
      </c>
      <c r="AY16" s="9">
        <v>407</v>
      </c>
      <c r="AZ16" s="9">
        <v>396</v>
      </c>
      <c r="BA16" s="9">
        <v>382</v>
      </c>
      <c r="BB16" s="9">
        <v>375</v>
      </c>
      <c r="BC16" s="9">
        <v>367</v>
      </c>
      <c r="BD16" s="9">
        <v>358</v>
      </c>
      <c r="BE16" s="9">
        <v>356</v>
      </c>
      <c r="BF16" s="9">
        <v>341</v>
      </c>
      <c r="BG16" s="9">
        <v>348</v>
      </c>
      <c r="BH16" s="9">
        <v>345</v>
      </c>
      <c r="BI16" s="9">
        <v>365</v>
      </c>
      <c r="BJ16" s="13">
        <v>374</v>
      </c>
      <c r="BK16" s="9">
        <v>377</v>
      </c>
      <c r="BL16" s="9">
        <v>395</v>
      </c>
      <c r="BM16" s="9">
        <v>410</v>
      </c>
      <c r="BN16" s="9">
        <v>421</v>
      </c>
      <c r="BO16" s="9">
        <v>430</v>
      </c>
      <c r="BP16" s="9">
        <v>443</v>
      </c>
      <c r="BQ16" s="9">
        <v>457</v>
      </c>
      <c r="BR16" s="9">
        <v>472</v>
      </c>
      <c r="BS16" s="9">
        <v>491</v>
      </c>
      <c r="BT16" s="9">
        <v>502</v>
      </c>
      <c r="BU16" s="9">
        <v>513</v>
      </c>
      <c r="BV16" s="13">
        <v>529</v>
      </c>
      <c r="BW16" s="9">
        <v>553</v>
      </c>
      <c r="BX16" s="9">
        <v>556</v>
      </c>
      <c r="BY16" s="9">
        <v>571</v>
      </c>
      <c r="BZ16" s="9">
        <v>577</v>
      </c>
      <c r="CA16" s="9">
        <v>580</v>
      </c>
      <c r="CB16" s="9">
        <v>591</v>
      </c>
      <c r="CC16" s="9">
        <v>580</v>
      </c>
      <c r="CD16" s="9">
        <v>569</v>
      </c>
      <c r="CE16" s="9">
        <v>565</v>
      </c>
      <c r="CF16" s="9">
        <v>553</v>
      </c>
      <c r="CG16" s="9">
        <v>554</v>
      </c>
      <c r="CH16" s="13">
        <v>555</v>
      </c>
      <c r="CI16" s="9">
        <v>561</v>
      </c>
      <c r="CJ16" s="9">
        <v>542</v>
      </c>
      <c r="CK16" s="9">
        <v>539</v>
      </c>
      <c r="CL16" s="9">
        <v>510</v>
      </c>
      <c r="CM16" s="9">
        <v>479</v>
      </c>
      <c r="CN16" s="9">
        <v>469</v>
      </c>
      <c r="CO16" s="9">
        <v>455</v>
      </c>
      <c r="CP16" s="9">
        <v>462</v>
      </c>
      <c r="CQ16" s="9">
        <v>454</v>
      </c>
      <c r="CR16" s="9">
        <v>443</v>
      </c>
      <c r="CS16" s="9">
        <v>442</v>
      </c>
      <c r="CT16" s="13">
        <v>454</v>
      </c>
      <c r="CU16" s="9">
        <v>454</v>
      </c>
      <c r="CV16" s="9">
        <v>443</v>
      </c>
      <c r="CW16" s="9">
        <v>431</v>
      </c>
      <c r="CX16" s="9">
        <v>427</v>
      </c>
      <c r="CY16" s="9">
        <v>428</v>
      </c>
      <c r="CZ16" s="9">
        <v>414</v>
      </c>
      <c r="DA16" s="9">
        <v>409</v>
      </c>
      <c r="DB16" s="9">
        <v>420</v>
      </c>
      <c r="DC16" s="9">
        <v>433</v>
      </c>
      <c r="DD16" s="9">
        <v>425</v>
      </c>
      <c r="DE16" s="9">
        <v>433</v>
      </c>
      <c r="DF16" s="13">
        <v>443</v>
      </c>
      <c r="DG16" s="9">
        <v>450</v>
      </c>
      <c r="DH16" s="9">
        <v>447</v>
      </c>
      <c r="DI16" s="9">
        <v>446</v>
      </c>
      <c r="DJ16" s="9">
        <v>431</v>
      </c>
      <c r="DK16" s="9">
        <v>413</v>
      </c>
      <c r="DL16" s="9">
        <v>412</v>
      </c>
      <c r="DM16" s="9">
        <v>414</v>
      </c>
      <c r="DN16" s="9">
        <v>405</v>
      </c>
      <c r="DO16" s="9">
        <v>396</v>
      </c>
      <c r="DP16" s="9">
        <v>411</v>
      </c>
      <c r="DQ16" s="9">
        <v>421</v>
      </c>
      <c r="DR16" s="13">
        <v>419</v>
      </c>
      <c r="DS16" s="9">
        <v>416</v>
      </c>
      <c r="DT16" s="9">
        <v>424</v>
      </c>
      <c r="DU16" s="9">
        <v>425</v>
      </c>
      <c r="DV16" s="9">
        <v>431</v>
      </c>
      <c r="DW16" s="9">
        <v>433</v>
      </c>
      <c r="DX16" s="9">
        <v>440</v>
      </c>
      <c r="DY16" s="9">
        <v>435</v>
      </c>
      <c r="DZ16" s="9">
        <v>430</v>
      </c>
      <c r="EA16" s="9">
        <v>422</v>
      </c>
      <c r="EB16" s="9">
        <v>411</v>
      </c>
      <c r="EC16" s="9">
        <v>419</v>
      </c>
      <c r="ED16" s="13">
        <v>443</v>
      </c>
      <c r="EE16" s="9">
        <v>447</v>
      </c>
      <c r="EF16" s="9">
        <v>459</v>
      </c>
      <c r="EG16" s="9">
        <v>461</v>
      </c>
      <c r="EH16" s="9">
        <v>471</v>
      </c>
      <c r="EI16" s="9">
        <v>472</v>
      </c>
      <c r="EJ16" s="9">
        <v>478</v>
      </c>
      <c r="EK16" s="9">
        <v>480</v>
      </c>
      <c r="EL16" s="9">
        <v>476</v>
      </c>
      <c r="EM16" s="9">
        <v>486</v>
      </c>
      <c r="EN16" s="9">
        <v>485</v>
      </c>
      <c r="EO16" s="9">
        <v>501</v>
      </c>
      <c r="EP16" s="13">
        <v>516</v>
      </c>
      <c r="EQ16" s="9">
        <v>529</v>
      </c>
      <c r="ER16" s="9">
        <v>538</v>
      </c>
      <c r="ES16" s="9">
        <v>550</v>
      </c>
      <c r="ET16" s="9">
        <v>563</v>
      </c>
      <c r="EU16" s="9">
        <v>555</v>
      </c>
      <c r="EV16" s="9">
        <v>543</v>
      </c>
      <c r="EW16" s="9">
        <v>538</v>
      </c>
      <c r="EX16" s="9">
        <v>542</v>
      </c>
      <c r="EY16" s="9">
        <v>542</v>
      </c>
      <c r="EZ16" s="9">
        <v>546</v>
      </c>
      <c r="FA16" s="9">
        <v>569</v>
      </c>
      <c r="FB16" s="13">
        <v>573</v>
      </c>
      <c r="FC16" s="9">
        <v>567</v>
      </c>
      <c r="FD16" s="36">
        <v>565</v>
      </c>
      <c r="FE16" s="33">
        <v>563</v>
      </c>
      <c r="FF16" s="33">
        <v>552</v>
      </c>
      <c r="FG16" s="36">
        <v>568</v>
      </c>
      <c r="FH16" s="36">
        <v>566</v>
      </c>
      <c r="FI16" s="36">
        <v>574</v>
      </c>
      <c r="FJ16" s="36">
        <v>567</v>
      </c>
      <c r="FK16" s="36">
        <v>568</v>
      </c>
      <c r="FL16" s="1">
        <v>577</v>
      </c>
      <c r="FM16" s="1">
        <v>592</v>
      </c>
      <c r="FN16" s="6">
        <v>594</v>
      </c>
      <c r="FO16" s="1">
        <v>581</v>
      </c>
      <c r="FP16" s="1">
        <v>578</v>
      </c>
      <c r="FQ16" s="1">
        <v>588</v>
      </c>
      <c r="FR16" s="1">
        <v>589</v>
      </c>
      <c r="FS16" s="1">
        <v>581</v>
      </c>
      <c r="FT16" s="1">
        <v>555</v>
      </c>
      <c r="FU16" s="1">
        <v>551</v>
      </c>
      <c r="FV16" s="1">
        <v>558</v>
      </c>
      <c r="FW16" s="1">
        <v>550</v>
      </c>
      <c r="FX16" s="1">
        <v>548</v>
      </c>
      <c r="FY16" s="1">
        <v>545</v>
      </c>
      <c r="FZ16" s="1">
        <v>554</v>
      </c>
      <c r="GA16" s="48">
        <v>552</v>
      </c>
      <c r="GB16" s="1">
        <v>537</v>
      </c>
      <c r="GC16" s="1">
        <v>526</v>
      </c>
      <c r="GD16" s="1">
        <v>538</v>
      </c>
      <c r="GE16" s="1">
        <v>514</v>
      </c>
      <c r="GF16" s="1">
        <v>525</v>
      </c>
      <c r="GG16" s="1">
        <v>530</v>
      </c>
      <c r="GH16" s="1">
        <v>517</v>
      </c>
      <c r="GI16" s="1">
        <v>536</v>
      </c>
      <c r="GJ16" s="1">
        <v>541</v>
      </c>
      <c r="GK16" s="1">
        <v>557</v>
      </c>
      <c r="GL16" s="1">
        <v>558</v>
      </c>
      <c r="GM16" s="48">
        <v>561</v>
      </c>
      <c r="GN16" s="1">
        <v>552</v>
      </c>
      <c r="GO16" s="1">
        <v>596</v>
      </c>
      <c r="GP16" s="1">
        <v>611</v>
      </c>
      <c r="GQ16" s="1">
        <v>637</v>
      </c>
      <c r="GR16" s="1">
        <v>674</v>
      </c>
      <c r="GS16" s="1">
        <v>694</v>
      </c>
      <c r="GT16" s="1">
        <v>694</v>
      </c>
      <c r="GU16" s="1">
        <v>726</v>
      </c>
      <c r="GV16" s="1">
        <v>741</v>
      </c>
      <c r="GW16" s="1">
        <v>764</v>
      </c>
      <c r="GX16" s="6">
        <v>780</v>
      </c>
      <c r="GY16" s="1">
        <v>778</v>
      </c>
      <c r="GZ16" s="1">
        <v>795</v>
      </c>
      <c r="HA16" s="1">
        <v>808</v>
      </c>
      <c r="HB16" s="1">
        <v>821</v>
      </c>
      <c r="HC16" s="1">
        <v>826</v>
      </c>
      <c r="HD16" s="1">
        <v>828</v>
      </c>
      <c r="HE16" s="1">
        <v>811</v>
      </c>
      <c r="HF16" s="1">
        <v>793</v>
      </c>
      <c r="HG16" s="1">
        <v>793</v>
      </c>
      <c r="HH16" s="1">
        <v>796</v>
      </c>
      <c r="HI16" s="1">
        <v>803</v>
      </c>
      <c r="HJ16" s="1">
        <v>806</v>
      </c>
      <c r="HK16" s="48">
        <v>794</v>
      </c>
      <c r="HL16" s="1">
        <v>784</v>
      </c>
      <c r="HM16" s="1">
        <v>779</v>
      </c>
      <c r="HN16" s="1">
        <v>759</v>
      </c>
      <c r="HO16" s="1">
        <v>739</v>
      </c>
      <c r="HP16" s="1">
        <v>732</v>
      </c>
      <c r="HQ16" s="1">
        <v>720</v>
      </c>
      <c r="HR16" s="1">
        <v>706</v>
      </c>
      <c r="HS16" s="1">
        <v>696</v>
      </c>
      <c r="HT16" s="1">
        <v>701</v>
      </c>
      <c r="HU16" s="1">
        <v>704</v>
      </c>
      <c r="HV16" s="1">
        <v>662</v>
      </c>
      <c r="HW16" s="48">
        <v>660</v>
      </c>
      <c r="HX16" s="1">
        <v>668</v>
      </c>
      <c r="HY16" s="1">
        <v>666</v>
      </c>
      <c r="HZ16" s="1">
        <v>644</v>
      </c>
      <c r="IA16" s="1">
        <v>638</v>
      </c>
      <c r="IB16" s="1">
        <v>613</v>
      </c>
      <c r="IC16" s="1">
        <v>618</v>
      </c>
      <c r="ID16" s="1">
        <v>612</v>
      </c>
      <c r="IE16" s="1">
        <v>592</v>
      </c>
      <c r="IF16" s="1">
        <v>595</v>
      </c>
      <c r="IG16" s="1">
        <v>595</v>
      </c>
      <c r="IH16" s="1">
        <v>591</v>
      </c>
      <c r="II16" s="48">
        <v>613</v>
      </c>
      <c r="IJ16" s="1">
        <v>623</v>
      </c>
      <c r="IK16" s="1">
        <v>640</v>
      </c>
      <c r="IL16" s="1">
        <v>642</v>
      </c>
      <c r="IM16" s="1">
        <v>672</v>
      </c>
      <c r="IN16" s="1">
        <v>661</v>
      </c>
      <c r="IO16" s="1">
        <v>661</v>
      </c>
      <c r="IP16" s="1">
        <v>665</v>
      </c>
      <c r="IQ16" s="1">
        <v>686</v>
      </c>
      <c r="IR16" s="1">
        <v>705</v>
      </c>
      <c r="IS16" s="1">
        <v>724</v>
      </c>
      <c r="IT16" s="6">
        <v>741</v>
      </c>
      <c r="IU16" s="1">
        <v>763</v>
      </c>
      <c r="IV16" s="1">
        <v>778</v>
      </c>
      <c r="IW16" s="1">
        <v>790</v>
      </c>
      <c r="IX16" s="1">
        <v>807</v>
      </c>
      <c r="IY16" s="1">
        <v>814</v>
      </c>
      <c r="IZ16" s="1">
        <v>814</v>
      </c>
      <c r="JA16" s="1">
        <v>844</v>
      </c>
      <c r="JB16" s="1">
        <v>848</v>
      </c>
      <c r="JC16" s="1">
        <v>855</v>
      </c>
      <c r="JD16" s="1">
        <v>892</v>
      </c>
      <c r="JE16" s="1">
        <v>898</v>
      </c>
      <c r="JF16" s="1">
        <v>895</v>
      </c>
      <c r="JG16" s="48">
        <v>891</v>
      </c>
      <c r="JH16" s="1">
        <v>884</v>
      </c>
      <c r="JI16" s="1">
        <v>890</v>
      </c>
    </row>
    <row r="17" spans="1:269" ht="13.5" x14ac:dyDescent="0.2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3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3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3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13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13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13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13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13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13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13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13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13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13"/>
      <c r="FC17" s="9"/>
      <c r="FD17" s="36"/>
      <c r="FE17" s="33"/>
      <c r="FF17" s="33"/>
      <c r="FG17" s="36"/>
      <c r="FH17" s="36"/>
      <c r="FI17" s="36"/>
      <c r="FJ17" s="36"/>
      <c r="FK17" s="36"/>
      <c r="FN17" s="6"/>
      <c r="GA17" s="48"/>
      <c r="GM17" s="48"/>
      <c r="GX17" s="6"/>
      <c r="HK17" s="48"/>
      <c r="HW17" s="48"/>
      <c r="II17" s="48"/>
      <c r="IT17" s="6"/>
      <c r="IX17" s="67"/>
      <c r="JG17" s="48"/>
    </row>
    <row r="18" spans="1:269" ht="14.25" x14ac:dyDescent="0.25">
      <c r="A18" s="5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3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3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3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13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13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13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13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13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13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13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13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13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13"/>
      <c r="FC18" s="9"/>
      <c r="FD18" s="36"/>
      <c r="FE18" s="36"/>
      <c r="FF18" s="33"/>
      <c r="FG18" s="36"/>
      <c r="FH18" s="36"/>
      <c r="FI18" s="36"/>
      <c r="FJ18" s="36"/>
      <c r="FK18" s="36"/>
      <c r="FN18" s="6"/>
      <c r="GA18" s="48"/>
      <c r="GM18" s="48"/>
      <c r="GX18" s="6"/>
      <c r="HK18" s="48"/>
      <c r="HW18" s="48"/>
      <c r="II18" s="48"/>
      <c r="IT18" s="6"/>
      <c r="JG18" s="48"/>
    </row>
    <row r="19" spans="1:269" ht="13.5" x14ac:dyDescent="0.25">
      <c r="A19" s="1" t="s">
        <v>30</v>
      </c>
      <c r="B19" s="1">
        <v>14</v>
      </c>
      <c r="C19" s="9">
        <v>2190</v>
      </c>
      <c r="D19" s="9">
        <v>2100</v>
      </c>
      <c r="E19" s="9">
        <v>2030</v>
      </c>
      <c r="F19" s="9">
        <v>1864</v>
      </c>
      <c r="G19" s="9">
        <v>1793</v>
      </c>
      <c r="H19" s="9">
        <v>1740</v>
      </c>
      <c r="I19" s="9">
        <v>1742</v>
      </c>
      <c r="J19" s="9">
        <v>1780</v>
      </c>
      <c r="K19" s="9">
        <v>1696</v>
      </c>
      <c r="L19" s="9">
        <v>1645</v>
      </c>
      <c r="M19" s="9">
        <v>1739</v>
      </c>
      <c r="N19" s="13">
        <v>1856</v>
      </c>
      <c r="O19" s="9">
        <f>51+900+427+1050-O20</f>
        <v>1809</v>
      </c>
      <c r="P19" s="9">
        <f>54+914+430+1057-P20</f>
        <v>1841</v>
      </c>
      <c r="Q19" s="9">
        <f>55+871+410+1009-Q20</f>
        <v>1759</v>
      </c>
      <c r="R19" s="9">
        <f>393+823+987+51-R20</f>
        <v>1704</v>
      </c>
      <c r="S19" s="9">
        <f>44+372+964+817-S20</f>
        <v>1656</v>
      </c>
      <c r="T19" s="9">
        <f>46+772+344+918-T20</f>
        <v>1573</v>
      </c>
      <c r="U19" s="9">
        <f>44+780+337+967-U20</f>
        <v>1613</v>
      </c>
      <c r="V19" s="9">
        <f>52+793+338+950-V20</f>
        <v>1610</v>
      </c>
      <c r="W19" s="9">
        <f>50+785+344+963-W20</f>
        <v>1627</v>
      </c>
      <c r="X19" s="9">
        <f>43+800+332+933-X20</f>
        <v>1587</v>
      </c>
      <c r="Y19" s="9">
        <f>46+797+316+938-Y20</f>
        <v>1594</v>
      </c>
      <c r="Z19" s="13">
        <f>51+814+322+942-Z20</f>
        <v>1614</v>
      </c>
      <c r="AA19" s="9">
        <f>320+59+789+952-AA20</f>
        <v>1622</v>
      </c>
      <c r="AB19" s="9">
        <v>1570</v>
      </c>
      <c r="AC19" s="9">
        <v>1533</v>
      </c>
      <c r="AD19" s="9">
        <v>1468</v>
      </c>
      <c r="AE19" s="9">
        <f>52+706+317+798-434</f>
        <v>1439</v>
      </c>
      <c r="AF19" s="9">
        <f>307+764+684+46-431</f>
        <v>1370</v>
      </c>
      <c r="AG19" s="9">
        <f>50+682+328+796-AG20</f>
        <v>1433</v>
      </c>
      <c r="AH19" s="9">
        <f>48+676+311+768-AH20</f>
        <v>1370</v>
      </c>
      <c r="AI19" s="9">
        <v>1399</v>
      </c>
      <c r="AJ19" s="9">
        <f>49+646+320+740+1-AJ20</f>
        <v>1347</v>
      </c>
      <c r="AK19" s="9">
        <f>51+645+300+748-AK20</f>
        <v>1338</v>
      </c>
      <c r="AL19" s="13">
        <f>53+681+318+802-AL20</f>
        <v>1416</v>
      </c>
      <c r="AM19" s="9">
        <f>52+685+329+784-AM20</f>
        <v>1407</v>
      </c>
      <c r="AN19" s="9">
        <f>41+662+323+743-AN20</f>
        <v>1340</v>
      </c>
      <c r="AO19" s="9">
        <f>37+634+305+707-AO20</f>
        <v>1288</v>
      </c>
      <c r="AP19" s="9">
        <f>40+593+302+674-AP20</f>
        <v>1230</v>
      </c>
      <c r="AQ19" s="9">
        <f>45+572+296+668-AQ20</f>
        <v>1222</v>
      </c>
      <c r="AR19" s="9">
        <f>40+534+281+638-AR20</f>
        <v>1157</v>
      </c>
      <c r="AS19" s="9">
        <f>40+541+280+671-AS20</f>
        <v>1188</v>
      </c>
      <c r="AT19" s="9">
        <f>43+576+270+678-AT20</f>
        <v>1198</v>
      </c>
      <c r="AU19" s="9">
        <f>44+527+267+680+1-AU20</f>
        <v>1176</v>
      </c>
      <c r="AV19" s="9">
        <f>41+517+256+676-AV20+1</f>
        <v>1157</v>
      </c>
      <c r="AW19" s="9">
        <v>1172</v>
      </c>
      <c r="AX19" s="13">
        <f>33+549+276+686-AX20</f>
        <v>1211</v>
      </c>
      <c r="AY19" s="9">
        <f>34+556+272+726-AY20</f>
        <v>1247</v>
      </c>
      <c r="AZ19" s="9">
        <f>42+500+276+677-AZ20</f>
        <v>1173</v>
      </c>
      <c r="BA19" s="9">
        <f>37+497+250+654-BA20</f>
        <v>1121</v>
      </c>
      <c r="BB19" s="9">
        <f>42+523+259+684-BB20</f>
        <v>1163</v>
      </c>
      <c r="BC19" s="9">
        <f>31+505+232+596-BC20</f>
        <v>1020</v>
      </c>
      <c r="BD19" s="9">
        <f>30+451+237+564-BD20+1</f>
        <v>966</v>
      </c>
      <c r="BE19" s="9">
        <f>32+490+243+604+2-BE20</f>
        <v>1027</v>
      </c>
      <c r="BF19" s="9">
        <f>36+504+255+606-BF20</f>
        <v>1046</v>
      </c>
      <c r="BG19" s="9">
        <f>45+518+226+639-BG20</f>
        <v>1064</v>
      </c>
      <c r="BH19" s="9">
        <f>43+539+240+625-BH20</f>
        <v>1070</v>
      </c>
      <c r="BI19" s="9">
        <v>1246</v>
      </c>
      <c r="BJ19" s="13">
        <f>52+713+307+828-BJ20</f>
        <v>1421</v>
      </c>
      <c r="BK19" s="9">
        <f>55+753+366+917-BK20</f>
        <v>1595</v>
      </c>
      <c r="BL19" s="9">
        <f>55+834+372+976-BL20</f>
        <v>1686</v>
      </c>
      <c r="BM19" s="9">
        <f>46+892+385+1019-BM20</f>
        <v>1753</v>
      </c>
      <c r="BN19" s="9">
        <f>51+905+391+1036-BN20</f>
        <v>1782</v>
      </c>
      <c r="BO19" s="9">
        <f>45+953+383+1058-BO20</f>
        <v>1793</v>
      </c>
      <c r="BP19" s="9">
        <v>1914</v>
      </c>
      <c r="BQ19" s="9">
        <v>2051</v>
      </c>
      <c r="BR19" s="9">
        <v>2085</v>
      </c>
      <c r="BS19" s="9">
        <v>2080</v>
      </c>
      <c r="BT19" s="9">
        <v>2176</v>
      </c>
      <c r="BU19" s="9">
        <v>2278</v>
      </c>
      <c r="BV19" s="13">
        <v>2469</v>
      </c>
      <c r="BW19" s="9">
        <v>2427</v>
      </c>
      <c r="BX19" s="9">
        <v>2304</v>
      </c>
      <c r="BY19" s="9">
        <v>2164</v>
      </c>
      <c r="BZ19" s="9">
        <v>2069</v>
      </c>
      <c r="CA19" s="9">
        <v>1929</v>
      </c>
      <c r="CB19" s="9">
        <v>1822</v>
      </c>
      <c r="CC19" s="9">
        <v>1774</v>
      </c>
      <c r="CD19" s="9">
        <v>1750</v>
      </c>
      <c r="CE19" s="9">
        <v>1547</v>
      </c>
      <c r="CF19" s="9">
        <v>1575</v>
      </c>
      <c r="CG19" s="9">
        <v>1522</v>
      </c>
      <c r="CH19" s="13">
        <v>1586</v>
      </c>
      <c r="CI19" s="9">
        <v>1560</v>
      </c>
      <c r="CJ19" s="9">
        <v>1498</v>
      </c>
      <c r="CK19" s="9">
        <v>1417</v>
      </c>
      <c r="CL19" s="9">
        <v>1297</v>
      </c>
      <c r="CM19" s="9">
        <v>1131</v>
      </c>
      <c r="CN19" s="9">
        <v>1116</v>
      </c>
      <c r="CO19" s="9">
        <v>1155</v>
      </c>
      <c r="CP19" s="9">
        <v>1305</v>
      </c>
      <c r="CQ19" s="9">
        <v>1282</v>
      </c>
      <c r="CR19" s="9">
        <v>1277</v>
      </c>
      <c r="CS19" s="9">
        <v>1332</v>
      </c>
      <c r="CT19" s="13">
        <v>1433</v>
      </c>
      <c r="CU19" s="9">
        <v>1423</v>
      </c>
      <c r="CV19" s="9">
        <v>1408</v>
      </c>
      <c r="CW19" s="9">
        <v>1314</v>
      </c>
      <c r="CX19" s="9">
        <v>1266</v>
      </c>
      <c r="CY19" s="9">
        <v>1224</v>
      </c>
      <c r="CZ19" s="9">
        <v>1209</v>
      </c>
      <c r="DA19" s="9">
        <v>1270</v>
      </c>
      <c r="DB19" s="9">
        <v>1351</v>
      </c>
      <c r="DC19" s="9">
        <v>1313</v>
      </c>
      <c r="DD19" s="9">
        <v>1339</v>
      </c>
      <c r="DE19" s="9">
        <v>1503</v>
      </c>
      <c r="DF19" s="13">
        <v>1611</v>
      </c>
      <c r="DG19" s="9">
        <v>1647</v>
      </c>
      <c r="DH19" s="9">
        <v>1653</v>
      </c>
      <c r="DI19" s="9">
        <v>1603</v>
      </c>
      <c r="DJ19" s="9">
        <v>1526</v>
      </c>
      <c r="DK19" s="9">
        <v>1473</v>
      </c>
      <c r="DL19" s="9">
        <v>1388</v>
      </c>
      <c r="DM19" s="9">
        <v>1397</v>
      </c>
      <c r="DN19" s="9">
        <v>1360</v>
      </c>
      <c r="DO19" s="9">
        <v>1317</v>
      </c>
      <c r="DP19" s="9">
        <v>1349</v>
      </c>
      <c r="DQ19" s="9">
        <v>1427</v>
      </c>
      <c r="DR19" s="13">
        <v>1527</v>
      </c>
      <c r="DS19" s="9">
        <v>1495</v>
      </c>
      <c r="DT19" s="9">
        <v>1473</v>
      </c>
      <c r="DU19" s="9">
        <v>1393</v>
      </c>
      <c r="DV19" s="9">
        <v>1345</v>
      </c>
      <c r="DW19" s="9">
        <v>1279</v>
      </c>
      <c r="DX19" s="9">
        <v>1268</v>
      </c>
      <c r="DY19" s="9">
        <v>1315</v>
      </c>
      <c r="DZ19" s="9">
        <v>1272</v>
      </c>
      <c r="EA19" s="9">
        <v>1210</v>
      </c>
      <c r="EB19" s="9">
        <v>1199</v>
      </c>
      <c r="EC19" s="9">
        <v>1258</v>
      </c>
      <c r="ED19" s="13">
        <v>1389</v>
      </c>
      <c r="EE19" s="9">
        <v>1397</v>
      </c>
      <c r="EF19" s="9">
        <v>1408</v>
      </c>
      <c r="EG19" s="9">
        <v>1369</v>
      </c>
      <c r="EH19" s="9">
        <v>1375</v>
      </c>
      <c r="EI19" s="9">
        <v>1359</v>
      </c>
      <c r="EJ19" s="9">
        <v>1368</v>
      </c>
      <c r="EK19" s="9">
        <v>1472</v>
      </c>
      <c r="EL19" s="9">
        <v>1457</v>
      </c>
      <c r="EM19" s="9">
        <v>1450</v>
      </c>
      <c r="EN19" s="9">
        <v>1469</v>
      </c>
      <c r="EO19" s="9">
        <v>1546</v>
      </c>
      <c r="EP19" s="13">
        <v>1698</v>
      </c>
      <c r="EQ19" s="9">
        <v>1651</v>
      </c>
      <c r="ER19" s="9">
        <v>1610</v>
      </c>
      <c r="ES19" s="9">
        <v>1591</v>
      </c>
      <c r="ET19" s="9">
        <v>1519</v>
      </c>
      <c r="EU19" s="9">
        <v>1509</v>
      </c>
      <c r="EV19" s="9">
        <v>1474</v>
      </c>
      <c r="EW19" s="9">
        <v>1450</v>
      </c>
      <c r="EX19" s="9">
        <v>1490</v>
      </c>
      <c r="EY19" s="9">
        <v>1534</v>
      </c>
      <c r="EZ19" s="9">
        <v>1527</v>
      </c>
      <c r="FA19" s="9">
        <v>1602</v>
      </c>
      <c r="FB19" s="13">
        <v>1676</v>
      </c>
      <c r="FC19" s="9">
        <v>1644</v>
      </c>
      <c r="FD19" s="36">
        <v>1570</v>
      </c>
      <c r="FE19" s="33">
        <v>1531</v>
      </c>
      <c r="FF19" s="33">
        <v>1452</v>
      </c>
      <c r="FG19" s="36">
        <v>1378</v>
      </c>
      <c r="FH19" s="36">
        <v>1296</v>
      </c>
      <c r="FI19" s="36">
        <v>1305</v>
      </c>
      <c r="FJ19" s="36">
        <v>1299</v>
      </c>
      <c r="FK19" s="36">
        <v>1302</v>
      </c>
      <c r="FL19" s="1">
        <v>1312</v>
      </c>
      <c r="FM19" s="1">
        <v>1353</v>
      </c>
      <c r="FN19" s="6">
        <v>1440</v>
      </c>
      <c r="FO19" s="1">
        <v>1393</v>
      </c>
      <c r="FP19" s="1">
        <v>1357</v>
      </c>
      <c r="FQ19" s="1">
        <v>1337</v>
      </c>
      <c r="FR19" s="1">
        <v>1144</v>
      </c>
      <c r="FS19" s="1">
        <v>1003</v>
      </c>
      <c r="FT19" s="1">
        <v>947</v>
      </c>
      <c r="FU19" s="1">
        <v>907</v>
      </c>
      <c r="FV19" s="1">
        <v>932</v>
      </c>
      <c r="FW19" s="1">
        <v>910</v>
      </c>
      <c r="FX19" s="1">
        <v>883</v>
      </c>
      <c r="FY19" s="1">
        <v>903</v>
      </c>
      <c r="FZ19" s="1">
        <v>947</v>
      </c>
      <c r="GA19" s="48">
        <v>996</v>
      </c>
      <c r="GB19" s="1">
        <v>925</v>
      </c>
      <c r="GC19" s="1">
        <v>893</v>
      </c>
      <c r="GD19" s="1">
        <v>823</v>
      </c>
      <c r="GE19" s="1">
        <v>796</v>
      </c>
      <c r="GF19" s="1">
        <v>766</v>
      </c>
      <c r="GG19" s="1">
        <v>767</v>
      </c>
      <c r="GH19" s="1">
        <v>819</v>
      </c>
      <c r="GI19" s="1">
        <v>851</v>
      </c>
      <c r="GJ19" s="1">
        <v>865</v>
      </c>
      <c r="GK19" s="1">
        <v>890</v>
      </c>
      <c r="GL19" s="1">
        <v>1002</v>
      </c>
      <c r="GM19" s="48">
        <v>1084</v>
      </c>
      <c r="GN19" s="1">
        <v>1101</v>
      </c>
      <c r="GO19" s="1">
        <v>1258</v>
      </c>
      <c r="GP19" s="1">
        <v>1408</v>
      </c>
      <c r="GQ19" s="1">
        <v>1425</v>
      </c>
      <c r="GR19" s="1">
        <v>1448</v>
      </c>
      <c r="GS19" s="1">
        <v>1461</v>
      </c>
      <c r="GT19" s="1">
        <v>1568</v>
      </c>
      <c r="GU19" s="1">
        <v>1537</v>
      </c>
      <c r="GV19" s="1">
        <v>1578</v>
      </c>
      <c r="GW19" s="1">
        <v>1582</v>
      </c>
      <c r="GX19" s="6">
        <v>1666</v>
      </c>
      <c r="GY19" s="1">
        <v>1769</v>
      </c>
      <c r="GZ19" s="1">
        <v>1758</v>
      </c>
      <c r="HA19" s="1">
        <v>1631</v>
      </c>
      <c r="HB19" s="1">
        <v>1574</v>
      </c>
      <c r="HC19" s="1">
        <v>1463</v>
      </c>
      <c r="HD19" s="1">
        <v>1371</v>
      </c>
      <c r="HE19" s="1">
        <v>1306</v>
      </c>
      <c r="HF19" s="1">
        <v>1299</v>
      </c>
      <c r="HG19" s="1">
        <v>1261</v>
      </c>
      <c r="HH19" s="1">
        <v>1200</v>
      </c>
      <c r="HI19" s="1">
        <v>1199</v>
      </c>
      <c r="HJ19" s="1">
        <v>1261</v>
      </c>
      <c r="HK19" s="48">
        <v>1292</v>
      </c>
      <c r="HL19" s="1">
        <v>1312</v>
      </c>
      <c r="HM19" s="1">
        <v>1233</v>
      </c>
      <c r="HN19" s="1">
        <v>1148</v>
      </c>
      <c r="HO19" s="1">
        <v>1040</v>
      </c>
      <c r="HP19" s="1">
        <v>984</v>
      </c>
      <c r="HQ19" s="1">
        <v>995</v>
      </c>
      <c r="HR19" s="1">
        <v>985</v>
      </c>
      <c r="HS19" s="1">
        <v>890</v>
      </c>
      <c r="HT19" s="1">
        <v>884</v>
      </c>
      <c r="HU19" s="1">
        <v>884</v>
      </c>
      <c r="HV19" s="1">
        <v>933</v>
      </c>
      <c r="HW19" s="48">
        <v>964</v>
      </c>
      <c r="HX19" s="1">
        <v>923</v>
      </c>
      <c r="HY19" s="1">
        <v>933</v>
      </c>
      <c r="HZ19" s="1">
        <v>883</v>
      </c>
      <c r="IA19" s="1">
        <v>872</v>
      </c>
      <c r="IB19" s="1">
        <v>812</v>
      </c>
      <c r="IC19" s="1">
        <v>847</v>
      </c>
      <c r="ID19" s="1">
        <v>892</v>
      </c>
      <c r="IE19" s="1">
        <v>890</v>
      </c>
      <c r="IF19" s="1">
        <v>890</v>
      </c>
      <c r="IG19" s="1">
        <v>900</v>
      </c>
      <c r="IH19" s="1">
        <v>985</v>
      </c>
      <c r="II19" s="48">
        <v>1034</v>
      </c>
      <c r="IJ19" s="1">
        <v>997</v>
      </c>
      <c r="IK19" s="1">
        <v>1001</v>
      </c>
      <c r="IL19" s="1">
        <v>980</v>
      </c>
      <c r="IM19" s="1">
        <v>1000</v>
      </c>
      <c r="IN19" s="1">
        <v>995</v>
      </c>
      <c r="IO19" s="1">
        <v>1055</v>
      </c>
      <c r="IP19" s="1">
        <v>1154</v>
      </c>
      <c r="IQ19" s="1">
        <v>1199</v>
      </c>
      <c r="IR19" s="1">
        <v>1229</v>
      </c>
      <c r="IS19" s="1">
        <v>1272</v>
      </c>
      <c r="IT19" s="6">
        <v>1371</v>
      </c>
      <c r="IU19" s="1">
        <v>1410</v>
      </c>
      <c r="IV19" s="1">
        <v>1452</v>
      </c>
      <c r="IW19" s="1">
        <v>1478</v>
      </c>
      <c r="IX19" s="1">
        <v>1418</v>
      </c>
      <c r="IY19" s="1">
        <v>1370</v>
      </c>
      <c r="IZ19" s="1">
        <v>1389</v>
      </c>
      <c r="JA19" s="1">
        <v>1437</v>
      </c>
      <c r="JB19" s="1">
        <v>1524</v>
      </c>
      <c r="JC19" s="1">
        <v>1506</v>
      </c>
      <c r="JD19" s="1">
        <v>1478</v>
      </c>
      <c r="JE19" s="1">
        <v>1505</v>
      </c>
      <c r="JF19" s="1">
        <v>1605</v>
      </c>
      <c r="JG19" s="48">
        <v>1675</v>
      </c>
      <c r="JH19" s="1">
        <v>1636</v>
      </c>
      <c r="JI19" s="1">
        <v>1565</v>
      </c>
    </row>
    <row r="20" spans="1:269" ht="13.5" x14ac:dyDescent="0.25">
      <c r="A20" s="1" t="s">
        <v>31</v>
      </c>
      <c r="B20" s="1">
        <v>15</v>
      </c>
      <c r="C20" s="9">
        <v>662</v>
      </c>
      <c r="D20" s="9">
        <v>650</v>
      </c>
      <c r="E20" s="9">
        <v>622</v>
      </c>
      <c r="F20" s="9">
        <v>595</v>
      </c>
      <c r="G20" s="9">
        <v>565</v>
      </c>
      <c r="H20" s="9">
        <v>521</v>
      </c>
      <c r="I20" s="9">
        <v>531</v>
      </c>
      <c r="J20" s="9">
        <v>577</v>
      </c>
      <c r="K20" s="9">
        <v>574</v>
      </c>
      <c r="L20" s="9">
        <v>543</v>
      </c>
      <c r="M20" s="9">
        <v>571</v>
      </c>
      <c r="N20" s="13">
        <v>614</v>
      </c>
      <c r="O20" s="9">
        <v>619</v>
      </c>
      <c r="P20" s="9">
        <v>614</v>
      </c>
      <c r="Q20" s="9">
        <v>586</v>
      </c>
      <c r="R20" s="9">
        <v>550</v>
      </c>
      <c r="S20" s="9">
        <v>541</v>
      </c>
      <c r="T20" s="9">
        <v>507</v>
      </c>
      <c r="U20" s="9">
        <v>515</v>
      </c>
      <c r="V20" s="9">
        <v>523</v>
      </c>
      <c r="W20" s="9">
        <v>515</v>
      </c>
      <c r="X20" s="9">
        <v>521</v>
      </c>
      <c r="Y20" s="9">
        <v>503</v>
      </c>
      <c r="Z20" s="13">
        <v>515</v>
      </c>
      <c r="AA20" s="9">
        <v>498</v>
      </c>
      <c r="AB20" s="9">
        <v>511</v>
      </c>
      <c r="AC20" s="9">
        <v>486</v>
      </c>
      <c r="AD20" s="9">
        <f>473</f>
        <v>473</v>
      </c>
      <c r="AE20" s="9">
        <v>434</v>
      </c>
      <c r="AF20" s="9">
        <v>431</v>
      </c>
      <c r="AG20" s="9">
        <v>423</v>
      </c>
      <c r="AH20" s="9">
        <v>433</v>
      </c>
      <c r="AI20" s="9">
        <v>422</v>
      </c>
      <c r="AJ20" s="9">
        <v>409</v>
      </c>
      <c r="AK20" s="9">
        <v>406</v>
      </c>
      <c r="AL20" s="13">
        <v>438</v>
      </c>
      <c r="AM20" s="9">
        <v>443</v>
      </c>
      <c r="AN20" s="9">
        <v>429</v>
      </c>
      <c r="AO20" s="9">
        <v>395</v>
      </c>
      <c r="AP20" s="9">
        <v>379</v>
      </c>
      <c r="AQ20" s="9">
        <v>359</v>
      </c>
      <c r="AR20" s="9">
        <v>336</v>
      </c>
      <c r="AS20" s="9">
        <v>344</v>
      </c>
      <c r="AT20" s="9">
        <v>369</v>
      </c>
      <c r="AU20" s="9">
        <v>343</v>
      </c>
      <c r="AV20" s="9">
        <v>334</v>
      </c>
      <c r="AW20" s="9">
        <v>321</v>
      </c>
      <c r="AX20" s="13">
        <v>333</v>
      </c>
      <c r="AY20" s="9">
        <v>341</v>
      </c>
      <c r="AZ20" s="9">
        <v>322</v>
      </c>
      <c r="BA20" s="9">
        <v>317</v>
      </c>
      <c r="BB20" s="9">
        <v>345</v>
      </c>
      <c r="BC20" s="9">
        <v>344</v>
      </c>
      <c r="BD20" s="9">
        <v>317</v>
      </c>
      <c r="BE20" s="9">
        <v>344</v>
      </c>
      <c r="BF20" s="9">
        <v>355</v>
      </c>
      <c r="BG20" s="9">
        <v>364</v>
      </c>
      <c r="BH20" s="9">
        <v>377</v>
      </c>
      <c r="BI20" s="9">
        <v>403</v>
      </c>
      <c r="BJ20" s="13">
        <v>479</v>
      </c>
      <c r="BK20" s="9">
        <v>496</v>
      </c>
      <c r="BL20" s="9">
        <v>551</v>
      </c>
      <c r="BM20" s="9">
        <v>589</v>
      </c>
      <c r="BN20" s="9">
        <v>601</v>
      </c>
      <c r="BO20" s="9">
        <v>646</v>
      </c>
      <c r="BP20" s="9">
        <v>702</v>
      </c>
      <c r="BQ20" s="9">
        <v>711</v>
      </c>
      <c r="BR20" s="9">
        <v>729</v>
      </c>
      <c r="BS20" s="9">
        <v>747</v>
      </c>
      <c r="BT20" s="9">
        <v>730</v>
      </c>
      <c r="BU20" s="9">
        <v>755</v>
      </c>
      <c r="BV20" s="13">
        <v>806</v>
      </c>
      <c r="BW20" s="9">
        <v>802</v>
      </c>
      <c r="BX20" s="9">
        <v>777</v>
      </c>
      <c r="BY20" s="9">
        <v>761</v>
      </c>
      <c r="BZ20" s="9">
        <v>688</v>
      </c>
      <c r="CA20" s="9">
        <v>649</v>
      </c>
      <c r="CB20" s="9">
        <v>593</v>
      </c>
      <c r="CC20" s="9">
        <v>575</v>
      </c>
      <c r="CD20" s="9">
        <v>584</v>
      </c>
      <c r="CE20" s="9">
        <v>506</v>
      </c>
      <c r="CF20" s="9">
        <v>529</v>
      </c>
      <c r="CG20" s="9">
        <v>530</v>
      </c>
      <c r="CH20" s="13">
        <v>545</v>
      </c>
      <c r="CI20" s="9">
        <v>548</v>
      </c>
      <c r="CJ20" s="9">
        <v>514</v>
      </c>
      <c r="CK20" s="9">
        <v>459</v>
      </c>
      <c r="CL20" s="9">
        <v>411</v>
      </c>
      <c r="CM20" s="9">
        <v>365</v>
      </c>
      <c r="CN20" s="9">
        <v>349</v>
      </c>
      <c r="CO20" s="9">
        <v>322</v>
      </c>
      <c r="CP20" s="9">
        <v>315</v>
      </c>
      <c r="CQ20" s="9">
        <v>346</v>
      </c>
      <c r="CR20" s="9">
        <v>341</v>
      </c>
      <c r="CS20" s="9">
        <v>395</v>
      </c>
      <c r="CT20" s="13">
        <v>408</v>
      </c>
      <c r="CU20" s="9">
        <v>407</v>
      </c>
      <c r="CV20" s="9">
        <v>429</v>
      </c>
      <c r="CW20" s="9">
        <v>409</v>
      </c>
      <c r="CX20" s="9">
        <v>411</v>
      </c>
      <c r="CY20" s="9">
        <v>389</v>
      </c>
      <c r="CZ20" s="9">
        <v>382</v>
      </c>
      <c r="DA20" s="9">
        <v>386</v>
      </c>
      <c r="DB20" s="9">
        <v>424</v>
      </c>
      <c r="DC20" s="9">
        <v>428</v>
      </c>
      <c r="DD20" s="9">
        <v>423</v>
      </c>
      <c r="DE20" s="9">
        <v>457</v>
      </c>
      <c r="DF20" s="13">
        <v>507</v>
      </c>
      <c r="DG20" s="9">
        <v>542</v>
      </c>
      <c r="DH20" s="9">
        <v>534</v>
      </c>
      <c r="DI20" s="9">
        <v>481</v>
      </c>
      <c r="DJ20" s="9">
        <v>467</v>
      </c>
      <c r="DK20" s="9">
        <v>464</v>
      </c>
      <c r="DL20" s="9">
        <v>439</v>
      </c>
      <c r="DM20" s="9">
        <v>468</v>
      </c>
      <c r="DN20" s="9">
        <v>505</v>
      </c>
      <c r="DO20" s="9">
        <v>514</v>
      </c>
      <c r="DP20" s="9">
        <v>547</v>
      </c>
      <c r="DQ20" s="9">
        <v>556</v>
      </c>
      <c r="DR20" s="13">
        <v>586</v>
      </c>
      <c r="DS20" s="9">
        <v>573</v>
      </c>
      <c r="DT20" s="9">
        <v>559</v>
      </c>
      <c r="DU20" s="9">
        <v>548</v>
      </c>
      <c r="DV20" s="9">
        <v>536</v>
      </c>
      <c r="DW20" s="9">
        <v>531</v>
      </c>
      <c r="DX20" s="9">
        <v>490</v>
      </c>
      <c r="DY20" s="9">
        <v>473</v>
      </c>
      <c r="DZ20" s="9">
        <v>450</v>
      </c>
      <c r="EA20" s="9">
        <v>443</v>
      </c>
      <c r="EB20" s="9">
        <v>414</v>
      </c>
      <c r="EC20" s="9">
        <v>439</v>
      </c>
      <c r="ED20" s="13">
        <v>507</v>
      </c>
      <c r="EE20" s="9">
        <v>499</v>
      </c>
      <c r="EF20" s="9">
        <v>499</v>
      </c>
      <c r="EG20" s="9">
        <v>498</v>
      </c>
      <c r="EH20" s="9">
        <v>502</v>
      </c>
      <c r="EI20" s="9">
        <v>454</v>
      </c>
      <c r="EJ20" s="9">
        <v>449</v>
      </c>
      <c r="EK20" s="9">
        <v>462</v>
      </c>
      <c r="EL20" s="9">
        <v>473</v>
      </c>
      <c r="EM20" s="9">
        <v>462</v>
      </c>
      <c r="EN20" s="9">
        <v>501</v>
      </c>
      <c r="EO20" s="9">
        <v>580</v>
      </c>
      <c r="EP20" s="13">
        <v>617</v>
      </c>
      <c r="EQ20" s="9">
        <v>607</v>
      </c>
      <c r="ER20" s="9">
        <v>585</v>
      </c>
      <c r="ES20" s="9">
        <v>574</v>
      </c>
      <c r="ET20" s="9">
        <v>570</v>
      </c>
      <c r="EU20" s="9">
        <v>546</v>
      </c>
      <c r="EV20" s="9">
        <v>523</v>
      </c>
      <c r="EW20" s="9">
        <v>495</v>
      </c>
      <c r="EX20" s="9">
        <v>506</v>
      </c>
      <c r="EY20" s="9">
        <v>527</v>
      </c>
      <c r="EZ20" s="9">
        <v>528</v>
      </c>
      <c r="FA20" s="9">
        <v>568</v>
      </c>
      <c r="FB20" s="13">
        <v>609</v>
      </c>
      <c r="FC20" s="9">
        <v>609</v>
      </c>
      <c r="FD20" s="36">
        <v>583</v>
      </c>
      <c r="FE20" s="33">
        <v>565</v>
      </c>
      <c r="FF20" s="33">
        <v>553</v>
      </c>
      <c r="FG20" s="36">
        <v>510</v>
      </c>
      <c r="FH20" s="36">
        <v>488</v>
      </c>
      <c r="FI20" s="36">
        <v>501</v>
      </c>
      <c r="FJ20" s="36">
        <v>505</v>
      </c>
      <c r="FK20" s="36">
        <v>483</v>
      </c>
      <c r="FL20" s="1">
        <v>428</v>
      </c>
      <c r="FM20" s="1">
        <v>462</v>
      </c>
      <c r="FN20" s="6">
        <v>504</v>
      </c>
      <c r="FO20" s="1">
        <v>491</v>
      </c>
      <c r="FP20" s="1">
        <v>491</v>
      </c>
      <c r="FQ20" s="1">
        <v>482</v>
      </c>
      <c r="FR20" s="1">
        <v>418</v>
      </c>
      <c r="FS20" s="1">
        <v>375</v>
      </c>
      <c r="FT20" s="1">
        <v>331</v>
      </c>
      <c r="FU20" s="1">
        <v>317</v>
      </c>
      <c r="FV20" s="1">
        <v>312</v>
      </c>
      <c r="FW20" s="1">
        <v>323</v>
      </c>
      <c r="FX20" s="1">
        <v>334</v>
      </c>
      <c r="FY20" s="1">
        <v>342</v>
      </c>
      <c r="FZ20" s="1">
        <v>383</v>
      </c>
      <c r="GA20" s="48">
        <v>382</v>
      </c>
      <c r="GB20" s="1">
        <v>379</v>
      </c>
      <c r="GC20" s="1">
        <v>352</v>
      </c>
      <c r="GD20" s="1">
        <v>324</v>
      </c>
      <c r="GE20" s="1">
        <v>301</v>
      </c>
      <c r="GF20" s="1">
        <v>296</v>
      </c>
      <c r="GG20" s="1">
        <v>300</v>
      </c>
      <c r="GH20" s="1">
        <v>327</v>
      </c>
      <c r="GI20" s="1">
        <v>349</v>
      </c>
      <c r="GJ20" s="1">
        <v>349</v>
      </c>
      <c r="GK20" s="1">
        <v>371</v>
      </c>
      <c r="GL20" s="1">
        <v>421</v>
      </c>
      <c r="GM20" s="48">
        <v>442</v>
      </c>
      <c r="GN20" s="1">
        <v>432</v>
      </c>
      <c r="GO20" s="1">
        <v>495</v>
      </c>
      <c r="GP20" s="1">
        <v>538</v>
      </c>
      <c r="GQ20" s="1">
        <v>555</v>
      </c>
      <c r="GR20" s="1">
        <v>554</v>
      </c>
      <c r="GS20" s="1">
        <v>525</v>
      </c>
      <c r="GT20" s="1">
        <v>592</v>
      </c>
      <c r="GU20" s="1">
        <v>595</v>
      </c>
      <c r="GV20" s="1">
        <v>621</v>
      </c>
      <c r="GW20" s="1">
        <v>604</v>
      </c>
      <c r="GX20" s="6">
        <v>676</v>
      </c>
      <c r="GY20" s="1">
        <v>730</v>
      </c>
      <c r="GZ20" s="1">
        <v>737</v>
      </c>
      <c r="HA20" s="1">
        <v>689</v>
      </c>
      <c r="HB20" s="1">
        <v>634</v>
      </c>
      <c r="HC20" s="1">
        <v>600</v>
      </c>
      <c r="HD20" s="1">
        <v>573</v>
      </c>
      <c r="HE20" s="1">
        <v>550</v>
      </c>
      <c r="HF20" s="1">
        <v>572</v>
      </c>
      <c r="HG20" s="1">
        <v>504</v>
      </c>
      <c r="HH20" s="1">
        <v>470</v>
      </c>
      <c r="HI20" s="1">
        <v>466</v>
      </c>
      <c r="HJ20" s="1">
        <v>502</v>
      </c>
      <c r="HK20" s="48">
        <v>496</v>
      </c>
      <c r="HL20" s="1">
        <v>454</v>
      </c>
      <c r="HM20" s="1">
        <v>415</v>
      </c>
      <c r="HN20" s="1">
        <v>417</v>
      </c>
      <c r="HO20" s="1">
        <v>388</v>
      </c>
      <c r="HP20" s="1">
        <v>367</v>
      </c>
      <c r="HQ20" s="1">
        <v>370</v>
      </c>
      <c r="HR20" s="1">
        <v>377</v>
      </c>
      <c r="HS20" s="1">
        <v>377</v>
      </c>
      <c r="HT20" s="1">
        <v>335</v>
      </c>
      <c r="HU20" s="1">
        <v>345</v>
      </c>
      <c r="HV20" s="1">
        <v>410</v>
      </c>
      <c r="HW20" s="48">
        <v>408</v>
      </c>
      <c r="HX20" s="1">
        <v>397</v>
      </c>
      <c r="HY20" s="1">
        <v>364</v>
      </c>
      <c r="HZ20" s="1">
        <v>356</v>
      </c>
      <c r="IA20" s="1">
        <v>317</v>
      </c>
      <c r="IB20" s="1">
        <v>308</v>
      </c>
      <c r="IC20" s="1">
        <v>317</v>
      </c>
      <c r="ID20" s="1">
        <v>332</v>
      </c>
      <c r="IE20" s="1">
        <v>323</v>
      </c>
      <c r="IF20" s="1">
        <v>357</v>
      </c>
      <c r="IG20" s="1">
        <v>382</v>
      </c>
      <c r="IH20" s="1">
        <v>437</v>
      </c>
      <c r="II20" s="48">
        <v>461</v>
      </c>
      <c r="IJ20" s="1">
        <v>438</v>
      </c>
      <c r="IK20" s="1">
        <v>451</v>
      </c>
      <c r="IL20" s="1">
        <v>437</v>
      </c>
      <c r="IM20" s="1">
        <v>439</v>
      </c>
      <c r="IN20" s="1">
        <v>439</v>
      </c>
      <c r="IO20" s="1">
        <v>436</v>
      </c>
      <c r="IP20" s="1">
        <v>450</v>
      </c>
      <c r="IQ20" s="1">
        <v>459</v>
      </c>
      <c r="IR20" s="1">
        <v>473</v>
      </c>
      <c r="IS20" s="1">
        <v>497</v>
      </c>
      <c r="IT20" s="6">
        <v>553</v>
      </c>
      <c r="IU20" s="1">
        <v>598</v>
      </c>
      <c r="IV20" s="1">
        <v>611</v>
      </c>
      <c r="IW20" s="1">
        <v>618</v>
      </c>
      <c r="IX20" s="1">
        <v>608</v>
      </c>
      <c r="IY20" s="1">
        <v>582</v>
      </c>
      <c r="IZ20" s="1">
        <v>583</v>
      </c>
      <c r="JA20" s="1">
        <v>587</v>
      </c>
      <c r="JB20" s="1">
        <v>592</v>
      </c>
      <c r="JC20" s="1">
        <v>551</v>
      </c>
      <c r="JD20" s="1">
        <v>564</v>
      </c>
      <c r="JE20" s="1">
        <v>586</v>
      </c>
      <c r="JF20" s="1">
        <v>614</v>
      </c>
      <c r="JG20" s="48">
        <v>664</v>
      </c>
      <c r="JH20" s="1">
        <v>668</v>
      </c>
      <c r="JI20" s="1">
        <v>633</v>
      </c>
    </row>
    <row r="21" spans="1:269" ht="13.5" x14ac:dyDescent="0.25">
      <c r="A21" s="1" t="s">
        <v>32</v>
      </c>
      <c r="B21" s="1">
        <v>16</v>
      </c>
      <c r="C21" s="9">
        <v>1784</v>
      </c>
      <c r="D21" s="9">
        <v>1794</v>
      </c>
      <c r="E21" s="9">
        <v>1715</v>
      </c>
      <c r="F21" s="9">
        <v>1680</v>
      </c>
      <c r="G21" s="9">
        <v>1578</v>
      </c>
      <c r="H21" s="9">
        <v>1551</v>
      </c>
      <c r="I21" s="9">
        <v>1575</v>
      </c>
      <c r="J21" s="9">
        <v>1664</v>
      </c>
      <c r="K21" s="9">
        <v>1632</v>
      </c>
      <c r="L21" s="9">
        <v>1548</v>
      </c>
      <c r="M21" s="9">
        <v>1596</v>
      </c>
      <c r="N21" s="13">
        <v>1675</v>
      </c>
      <c r="O21" s="9">
        <f>279+426+1059</f>
        <v>1764</v>
      </c>
      <c r="P21" s="9">
        <f>297+438+1044</f>
        <v>1779</v>
      </c>
      <c r="Q21" s="9">
        <f>311+398+1041</f>
        <v>1750</v>
      </c>
      <c r="R21" s="9">
        <f>437+534+165+206+121+144</f>
        <v>1607</v>
      </c>
      <c r="S21" s="9">
        <f>281+36+948</f>
        <v>1265</v>
      </c>
      <c r="T21" s="9">
        <f>271+376+939</f>
        <v>1586</v>
      </c>
      <c r="U21" s="9">
        <f>900+371+266</f>
        <v>1537</v>
      </c>
      <c r="V21" s="9">
        <f>280+377+943</f>
        <v>1600</v>
      </c>
      <c r="W21" s="9">
        <f>265+381+983</f>
        <v>1629</v>
      </c>
      <c r="X21" s="9">
        <f>269+373+968</f>
        <v>1610</v>
      </c>
      <c r="Y21" s="9">
        <v>1672</v>
      </c>
      <c r="Z21" s="13">
        <f>287+401+1020</f>
        <v>1708</v>
      </c>
      <c r="AA21" s="9">
        <f>296+428+1092</f>
        <v>1816</v>
      </c>
      <c r="AB21" s="9">
        <v>1745</v>
      </c>
      <c r="AC21" s="9">
        <v>1662</v>
      </c>
      <c r="AD21" s="9">
        <f>938+359+262</f>
        <v>1559</v>
      </c>
      <c r="AE21" s="9">
        <f>236+351+820</f>
        <v>1407</v>
      </c>
      <c r="AF21" s="9">
        <f>227+328+766</f>
        <v>1321</v>
      </c>
      <c r="AG21" s="9">
        <f>206+311+765</f>
        <v>1282</v>
      </c>
      <c r="AH21" s="9">
        <f>226+317+795</f>
        <v>1338</v>
      </c>
      <c r="AI21" s="9">
        <v>1305</v>
      </c>
      <c r="AJ21" s="9">
        <f>201+301+769</f>
        <v>1271</v>
      </c>
      <c r="AK21" s="9">
        <f>196+296+745</f>
        <v>1237</v>
      </c>
      <c r="AL21" s="13">
        <f>213+305+772</f>
        <v>1290</v>
      </c>
      <c r="AM21" s="9">
        <f>238+319+785+1</f>
        <v>1343</v>
      </c>
      <c r="AN21" s="9">
        <f>235+293+779+1</f>
        <v>1308</v>
      </c>
      <c r="AO21" s="9">
        <f>243+284+734</f>
        <v>1261</v>
      </c>
      <c r="AP21" s="9">
        <f>213+261+672</f>
        <v>1146</v>
      </c>
      <c r="AQ21" s="9">
        <f>207+267+659</f>
        <v>1133</v>
      </c>
      <c r="AR21" s="9">
        <f>201+259+642</f>
        <v>1102</v>
      </c>
      <c r="AS21" s="9">
        <f>206+254+667</f>
        <v>1127</v>
      </c>
      <c r="AT21" s="9">
        <f>210+266+697</f>
        <v>1173</v>
      </c>
      <c r="AU21" s="9">
        <f>196+249+678</f>
        <v>1123</v>
      </c>
      <c r="AV21" s="9">
        <f>195+243+646</f>
        <v>1084</v>
      </c>
      <c r="AW21" s="9">
        <f>211+258+710</f>
        <v>1179</v>
      </c>
      <c r="AX21" s="13">
        <f>219+268+743</f>
        <v>1230</v>
      </c>
      <c r="AY21" s="9">
        <f>220+280+767</f>
        <v>1267</v>
      </c>
      <c r="AZ21" s="9">
        <f>192+276+721</f>
        <v>1189</v>
      </c>
      <c r="BA21" s="9">
        <f>182+288+703</f>
        <v>1173</v>
      </c>
      <c r="BB21" s="9">
        <f>174+261+684+1</f>
        <v>1120</v>
      </c>
      <c r="BC21" s="9">
        <f>153+249+612+1</f>
        <v>1015</v>
      </c>
      <c r="BD21" s="9">
        <f>156+226+578+1</f>
        <v>961</v>
      </c>
      <c r="BE21" s="9">
        <f>168+232+597+1</f>
        <v>998</v>
      </c>
      <c r="BF21" s="9">
        <f>164+241+623</f>
        <v>1028</v>
      </c>
      <c r="BG21" s="9">
        <f>163+241+590</f>
        <v>994</v>
      </c>
      <c r="BH21" s="9">
        <f>169+242+625</f>
        <v>1036</v>
      </c>
      <c r="BI21" s="9">
        <v>1111</v>
      </c>
      <c r="BJ21" s="13">
        <f>214+290+774</f>
        <v>1278</v>
      </c>
      <c r="BK21" s="9">
        <f>243+325+874</f>
        <v>1442</v>
      </c>
      <c r="BL21" s="9">
        <f>244+345+923</f>
        <v>1512</v>
      </c>
      <c r="BM21" s="9">
        <f>279+358+955</f>
        <v>1592</v>
      </c>
      <c r="BN21" s="9">
        <f>329+375+960</f>
        <v>1664</v>
      </c>
      <c r="BO21" s="9">
        <f>315+367+996</f>
        <v>1678</v>
      </c>
      <c r="BP21" s="9">
        <v>1861</v>
      </c>
      <c r="BQ21" s="9">
        <v>1937</v>
      </c>
      <c r="BR21" s="9">
        <v>1977</v>
      </c>
      <c r="BS21" s="9">
        <v>2007</v>
      </c>
      <c r="BT21" s="9">
        <v>2036</v>
      </c>
      <c r="BU21" s="9">
        <v>2024</v>
      </c>
      <c r="BV21" s="13">
        <v>2099</v>
      </c>
      <c r="BW21" s="9">
        <v>2133</v>
      </c>
      <c r="BX21" s="9">
        <v>2159</v>
      </c>
      <c r="BY21" s="9">
        <v>2090</v>
      </c>
      <c r="BZ21" s="9">
        <v>1927</v>
      </c>
      <c r="CA21" s="9">
        <v>1839</v>
      </c>
      <c r="CB21" s="9">
        <v>1782</v>
      </c>
      <c r="CC21" s="9">
        <v>1756</v>
      </c>
      <c r="CD21" s="9">
        <v>1695</v>
      </c>
      <c r="CE21" s="9">
        <v>1604</v>
      </c>
      <c r="CF21" s="9">
        <v>1563</v>
      </c>
      <c r="CG21" s="9">
        <v>1501</v>
      </c>
      <c r="CH21" s="13">
        <v>1589</v>
      </c>
      <c r="CI21" s="9">
        <v>1617</v>
      </c>
      <c r="CJ21" s="9">
        <v>1514</v>
      </c>
      <c r="CK21" s="9">
        <v>1382</v>
      </c>
      <c r="CL21" s="9">
        <v>1238</v>
      </c>
      <c r="CM21" s="9">
        <v>1118</v>
      </c>
      <c r="CN21" s="9">
        <v>1120</v>
      </c>
      <c r="CO21" s="9">
        <v>1080</v>
      </c>
      <c r="CP21" s="9">
        <v>1140</v>
      </c>
      <c r="CQ21" s="9">
        <v>1015</v>
      </c>
      <c r="CR21" s="9">
        <v>988</v>
      </c>
      <c r="CS21" s="9">
        <v>1034</v>
      </c>
      <c r="CT21" s="13">
        <v>1169</v>
      </c>
      <c r="CU21" s="9">
        <v>1215</v>
      </c>
      <c r="CV21" s="9">
        <v>1232</v>
      </c>
      <c r="CW21" s="9">
        <v>1135</v>
      </c>
      <c r="CX21" s="9">
        <v>1090</v>
      </c>
      <c r="CY21" s="9">
        <v>1085</v>
      </c>
      <c r="CZ21" s="9">
        <v>1077</v>
      </c>
      <c r="DA21" s="9">
        <v>1095</v>
      </c>
      <c r="DB21" s="9">
        <v>1140</v>
      </c>
      <c r="DC21" s="9">
        <v>1157</v>
      </c>
      <c r="DD21" s="9">
        <v>1187</v>
      </c>
      <c r="DE21" s="9">
        <v>1264</v>
      </c>
      <c r="DF21" s="13">
        <v>1446</v>
      </c>
      <c r="DG21" s="9">
        <v>1573</v>
      </c>
      <c r="DH21" s="9">
        <v>1551</v>
      </c>
      <c r="DI21" s="9">
        <v>1430</v>
      </c>
      <c r="DJ21" s="9">
        <v>1346</v>
      </c>
      <c r="DK21" s="9">
        <v>1313</v>
      </c>
      <c r="DL21" s="9">
        <v>1288</v>
      </c>
      <c r="DM21" s="9">
        <v>1241</v>
      </c>
      <c r="DN21" s="9">
        <v>1278</v>
      </c>
      <c r="DO21" s="9">
        <v>1210</v>
      </c>
      <c r="DP21" s="9">
        <v>1180</v>
      </c>
      <c r="DQ21" s="9">
        <v>1243</v>
      </c>
      <c r="DR21" s="13">
        <v>1331</v>
      </c>
      <c r="DS21" s="9">
        <v>1374</v>
      </c>
      <c r="DT21" s="9">
        <v>1377</v>
      </c>
      <c r="DU21" s="9">
        <v>1291</v>
      </c>
      <c r="DV21" s="9">
        <v>1195</v>
      </c>
      <c r="DW21" s="9">
        <v>1127</v>
      </c>
      <c r="DX21" s="9">
        <v>1077</v>
      </c>
      <c r="DY21" s="9">
        <v>1055</v>
      </c>
      <c r="DZ21" s="9">
        <v>1095</v>
      </c>
      <c r="EA21" s="9">
        <v>1096</v>
      </c>
      <c r="EB21" s="9">
        <v>1113</v>
      </c>
      <c r="EC21" s="9">
        <v>1107</v>
      </c>
      <c r="ED21" s="13">
        <v>1260</v>
      </c>
      <c r="EE21" s="9">
        <v>1312</v>
      </c>
      <c r="EF21" s="9">
        <v>1298</v>
      </c>
      <c r="EG21" s="9">
        <v>1263</v>
      </c>
      <c r="EH21" s="9">
        <v>1249</v>
      </c>
      <c r="EI21" s="9">
        <v>1221</v>
      </c>
      <c r="EJ21" s="9">
        <v>1244</v>
      </c>
      <c r="EK21" s="9">
        <v>1269</v>
      </c>
      <c r="EL21" s="9">
        <v>1364</v>
      </c>
      <c r="EM21" s="9">
        <v>1317</v>
      </c>
      <c r="EN21" s="9">
        <v>1281</v>
      </c>
      <c r="EO21" s="9">
        <v>1334</v>
      </c>
      <c r="EP21" s="13">
        <v>1563</v>
      </c>
      <c r="EQ21" s="9">
        <v>1618</v>
      </c>
      <c r="ER21" s="9">
        <v>1600</v>
      </c>
      <c r="ES21" s="9">
        <v>1554</v>
      </c>
      <c r="ET21" s="9">
        <v>1497</v>
      </c>
      <c r="EU21" s="9">
        <v>1441</v>
      </c>
      <c r="EV21" s="9">
        <v>1370</v>
      </c>
      <c r="EW21" s="9">
        <v>1365</v>
      </c>
      <c r="EX21" s="9">
        <v>1511</v>
      </c>
      <c r="EY21" s="9">
        <v>1495</v>
      </c>
      <c r="EZ21" s="9">
        <v>1508</v>
      </c>
      <c r="FA21" s="9">
        <v>1524</v>
      </c>
      <c r="FB21" s="13">
        <v>1691</v>
      </c>
      <c r="FC21" s="9">
        <v>1764</v>
      </c>
      <c r="FD21" s="36">
        <v>1727</v>
      </c>
      <c r="FE21" s="33">
        <v>1620</v>
      </c>
      <c r="FF21" s="33">
        <v>1582</v>
      </c>
      <c r="FG21" s="36">
        <v>1514</v>
      </c>
      <c r="FH21" s="36">
        <v>1442</v>
      </c>
      <c r="FI21" s="36">
        <v>1462</v>
      </c>
      <c r="FJ21" s="36">
        <v>1541</v>
      </c>
      <c r="FK21" s="36">
        <v>1403</v>
      </c>
      <c r="FL21" s="1">
        <v>1446</v>
      </c>
      <c r="FM21" s="1">
        <v>1457</v>
      </c>
      <c r="FN21" s="6">
        <v>1615</v>
      </c>
      <c r="FO21" s="1">
        <v>1603</v>
      </c>
      <c r="FP21" s="1">
        <v>1550</v>
      </c>
      <c r="FQ21" s="1">
        <v>1660</v>
      </c>
      <c r="FR21" s="1">
        <v>1512</v>
      </c>
      <c r="FS21" s="1">
        <v>1382</v>
      </c>
      <c r="FT21" s="1">
        <v>1291</v>
      </c>
      <c r="FU21" s="1">
        <v>1277</v>
      </c>
      <c r="FV21" s="1">
        <v>1311</v>
      </c>
      <c r="FW21" s="1">
        <v>1283</v>
      </c>
      <c r="FX21" s="1">
        <v>1189</v>
      </c>
      <c r="FY21" s="1">
        <v>1210</v>
      </c>
      <c r="FZ21" s="1">
        <v>1320</v>
      </c>
      <c r="GA21" s="48">
        <v>1348</v>
      </c>
      <c r="GB21" s="1">
        <v>1334</v>
      </c>
      <c r="GC21" s="1">
        <v>1266</v>
      </c>
      <c r="GD21" s="1">
        <v>1167</v>
      </c>
      <c r="GE21" s="1">
        <v>1126</v>
      </c>
      <c r="GF21" s="1">
        <v>1071</v>
      </c>
      <c r="GG21" s="1">
        <v>1092</v>
      </c>
      <c r="GH21" s="1">
        <v>1099</v>
      </c>
      <c r="GI21" s="1">
        <v>1091</v>
      </c>
      <c r="GJ21" s="1">
        <v>1162</v>
      </c>
      <c r="GK21" s="1">
        <v>1244</v>
      </c>
      <c r="GL21" s="1">
        <v>1298</v>
      </c>
      <c r="GM21" s="48">
        <v>1374</v>
      </c>
      <c r="GN21" s="1">
        <v>1389</v>
      </c>
      <c r="GO21" s="1">
        <v>1580</v>
      </c>
      <c r="GP21" s="1">
        <v>1730</v>
      </c>
      <c r="GQ21" s="1">
        <v>1785</v>
      </c>
      <c r="GR21" s="1">
        <v>1711</v>
      </c>
      <c r="GS21" s="1">
        <v>1758</v>
      </c>
      <c r="GT21" s="1">
        <v>1825</v>
      </c>
      <c r="GU21" s="1">
        <v>1774</v>
      </c>
      <c r="GV21" s="1">
        <v>1693</v>
      </c>
      <c r="GW21" s="1">
        <v>1719</v>
      </c>
      <c r="GX21" s="6">
        <v>1923</v>
      </c>
      <c r="GY21" s="1">
        <v>2026</v>
      </c>
      <c r="GZ21" s="1">
        <v>2025</v>
      </c>
      <c r="HA21" s="1">
        <v>1868</v>
      </c>
      <c r="HB21" s="1">
        <v>1798</v>
      </c>
      <c r="HC21" s="1">
        <v>1745</v>
      </c>
      <c r="HD21" s="1">
        <v>1660</v>
      </c>
      <c r="HE21" s="1">
        <v>1617</v>
      </c>
      <c r="HF21" s="1">
        <v>1614</v>
      </c>
      <c r="HG21" s="1">
        <v>1556</v>
      </c>
      <c r="HH21" s="1">
        <v>1550</v>
      </c>
      <c r="HI21" s="1">
        <v>1566</v>
      </c>
      <c r="HJ21" s="1">
        <v>1684</v>
      </c>
      <c r="HK21" s="48">
        <v>1709</v>
      </c>
      <c r="HL21" s="1">
        <v>1672</v>
      </c>
      <c r="HM21" s="1">
        <v>1576</v>
      </c>
      <c r="HN21" s="1">
        <v>1494</v>
      </c>
      <c r="HO21" s="1">
        <v>1356</v>
      </c>
      <c r="HP21" s="1">
        <v>1255</v>
      </c>
      <c r="HQ21" s="1">
        <v>1251</v>
      </c>
      <c r="HR21" s="1">
        <v>1290</v>
      </c>
      <c r="HS21" s="1">
        <v>1216</v>
      </c>
      <c r="HT21" s="1">
        <v>1189</v>
      </c>
      <c r="HU21" s="1">
        <v>1182</v>
      </c>
      <c r="HV21" s="1">
        <v>1297</v>
      </c>
      <c r="HW21" s="48">
        <v>1344</v>
      </c>
      <c r="HX21" s="1">
        <v>1359</v>
      </c>
      <c r="HY21" s="1">
        <v>1292</v>
      </c>
      <c r="HZ21" s="1">
        <v>1243</v>
      </c>
      <c r="IA21" s="1">
        <v>1217</v>
      </c>
      <c r="IB21" s="1">
        <v>1140</v>
      </c>
      <c r="IC21" s="1">
        <v>1169</v>
      </c>
      <c r="ID21" s="1">
        <v>1199</v>
      </c>
      <c r="IE21" s="1">
        <v>1182</v>
      </c>
      <c r="IF21" s="1">
        <v>1145</v>
      </c>
      <c r="IG21" s="1">
        <v>1234</v>
      </c>
      <c r="IH21" s="1">
        <v>1385</v>
      </c>
      <c r="II21" s="48">
        <v>1452</v>
      </c>
      <c r="IJ21" s="1">
        <v>1420</v>
      </c>
      <c r="IK21" s="1">
        <v>1373</v>
      </c>
      <c r="IL21" s="1">
        <v>1357</v>
      </c>
      <c r="IM21" s="1">
        <v>1360</v>
      </c>
      <c r="IN21" s="1">
        <v>1382</v>
      </c>
      <c r="IO21" s="1">
        <v>1491</v>
      </c>
      <c r="IP21" s="1">
        <v>1495</v>
      </c>
      <c r="IQ21" s="1">
        <v>1515</v>
      </c>
      <c r="IR21" s="1">
        <v>1595</v>
      </c>
      <c r="IS21" s="1">
        <v>1673</v>
      </c>
      <c r="IT21" s="6">
        <v>1819</v>
      </c>
      <c r="IU21" s="1">
        <v>1994</v>
      </c>
      <c r="IV21" s="1">
        <v>2012</v>
      </c>
      <c r="IW21" s="1">
        <v>1975</v>
      </c>
      <c r="IX21" s="1">
        <v>1885</v>
      </c>
      <c r="IY21" s="1">
        <v>1819</v>
      </c>
      <c r="IZ21" s="1">
        <v>1882</v>
      </c>
      <c r="JA21" s="1">
        <v>1897</v>
      </c>
      <c r="JB21" s="1">
        <v>1922</v>
      </c>
      <c r="JC21" s="1">
        <v>1943</v>
      </c>
      <c r="JD21" s="1">
        <v>1913</v>
      </c>
      <c r="JE21" s="1">
        <v>1932</v>
      </c>
      <c r="JF21" s="1">
        <v>2063</v>
      </c>
      <c r="JG21" s="48">
        <v>2190</v>
      </c>
      <c r="JH21" s="1">
        <v>2170</v>
      </c>
      <c r="JI21" s="1">
        <v>2028</v>
      </c>
    </row>
    <row r="22" spans="1:269" ht="13.5" x14ac:dyDescent="0.25">
      <c r="A22" s="1" t="s">
        <v>33</v>
      </c>
      <c r="B22" s="1">
        <v>17</v>
      </c>
      <c r="C22" s="9">
        <v>251</v>
      </c>
      <c r="D22" s="9">
        <v>242</v>
      </c>
      <c r="E22" s="9">
        <v>234</v>
      </c>
      <c r="F22" s="9">
        <v>215</v>
      </c>
      <c r="G22" s="9">
        <v>195</v>
      </c>
      <c r="H22" s="9">
        <v>183</v>
      </c>
      <c r="I22" s="9">
        <v>198</v>
      </c>
      <c r="J22" s="9">
        <v>205</v>
      </c>
      <c r="K22" s="9">
        <v>197</v>
      </c>
      <c r="L22" s="9">
        <v>178</v>
      </c>
      <c r="M22" s="9">
        <v>183</v>
      </c>
      <c r="N22" s="13">
        <v>193</v>
      </c>
      <c r="O22" s="9">
        <v>194</v>
      </c>
      <c r="P22" s="9">
        <v>194</v>
      </c>
      <c r="Q22" s="9">
        <v>195</v>
      </c>
      <c r="R22" s="9">
        <f>106+79</f>
        <v>185</v>
      </c>
      <c r="S22" s="9">
        <v>173</v>
      </c>
      <c r="T22" s="9">
        <v>156</v>
      </c>
      <c r="U22" s="9">
        <v>179</v>
      </c>
      <c r="V22" s="9">
        <f>183</f>
        <v>183</v>
      </c>
      <c r="W22" s="9">
        <v>184</v>
      </c>
      <c r="X22" s="9">
        <f>179</f>
        <v>179</v>
      </c>
      <c r="Y22" s="9">
        <v>202</v>
      </c>
      <c r="Z22" s="13">
        <v>188</v>
      </c>
      <c r="AA22" s="9">
        <v>213</v>
      </c>
      <c r="AB22" s="9">
        <v>211</v>
      </c>
      <c r="AC22" s="9">
        <v>195</v>
      </c>
      <c r="AD22" s="9">
        <v>199</v>
      </c>
      <c r="AE22" s="9">
        <v>180</v>
      </c>
      <c r="AF22" s="9">
        <v>171</v>
      </c>
      <c r="AG22" s="9">
        <v>168</v>
      </c>
      <c r="AH22" s="9">
        <f>160</f>
        <v>160</v>
      </c>
      <c r="AI22" s="9">
        <v>152</v>
      </c>
      <c r="AJ22" s="9">
        <f>154</f>
        <v>154</v>
      </c>
      <c r="AK22" s="9">
        <v>150</v>
      </c>
      <c r="AL22" s="13">
        <v>158</v>
      </c>
      <c r="AM22" s="9">
        <f>176</f>
        <v>176</v>
      </c>
      <c r="AN22" s="9">
        <f>173</f>
        <v>173</v>
      </c>
      <c r="AO22" s="9">
        <v>158</v>
      </c>
      <c r="AP22" s="9">
        <v>155</v>
      </c>
      <c r="AQ22" s="9">
        <v>152</v>
      </c>
      <c r="AR22" s="9">
        <v>153</v>
      </c>
      <c r="AS22" s="9">
        <v>152</v>
      </c>
      <c r="AT22" s="9">
        <f>144</f>
        <v>144</v>
      </c>
      <c r="AU22" s="9">
        <v>126</v>
      </c>
      <c r="AV22" s="9">
        <v>112</v>
      </c>
      <c r="AW22" s="9">
        <v>121</v>
      </c>
      <c r="AX22" s="13">
        <v>127</v>
      </c>
      <c r="AY22" s="9">
        <f>141</f>
        <v>141</v>
      </c>
      <c r="AZ22" s="9">
        <v>140</v>
      </c>
      <c r="BA22" s="9">
        <v>130</v>
      </c>
      <c r="BB22" s="9">
        <v>147</v>
      </c>
      <c r="BC22" s="9">
        <v>135</v>
      </c>
      <c r="BD22" s="9">
        <v>122</v>
      </c>
      <c r="BE22" s="9">
        <v>129</v>
      </c>
      <c r="BF22" s="9">
        <f>125</f>
        <v>125</v>
      </c>
      <c r="BG22" s="9">
        <f>128</f>
        <v>128</v>
      </c>
      <c r="BH22" s="9">
        <v>128</v>
      </c>
      <c r="BI22" s="9">
        <v>135</v>
      </c>
      <c r="BJ22" s="13">
        <v>163</v>
      </c>
      <c r="BK22" s="9">
        <v>176</v>
      </c>
      <c r="BL22" s="9">
        <v>211</v>
      </c>
      <c r="BM22" s="9">
        <v>238</v>
      </c>
      <c r="BN22" s="9">
        <v>242</v>
      </c>
      <c r="BO22" s="9">
        <v>264</v>
      </c>
      <c r="BP22" s="9">
        <v>282</v>
      </c>
      <c r="BQ22" s="9">
        <v>283</v>
      </c>
      <c r="BR22" s="9">
        <v>281</v>
      </c>
      <c r="BS22" s="9">
        <v>269</v>
      </c>
      <c r="BT22" s="9">
        <v>275</v>
      </c>
      <c r="BU22" s="9">
        <v>288</v>
      </c>
      <c r="BV22" s="13">
        <v>310</v>
      </c>
      <c r="BW22" s="9">
        <v>315</v>
      </c>
      <c r="BX22" s="9">
        <v>324</v>
      </c>
      <c r="BY22" s="9">
        <v>307</v>
      </c>
      <c r="BZ22" s="9">
        <v>278</v>
      </c>
      <c r="CA22" s="9">
        <v>261</v>
      </c>
      <c r="CB22" s="9">
        <v>250</v>
      </c>
      <c r="CC22" s="9">
        <v>233</v>
      </c>
      <c r="CD22" s="9">
        <v>223</v>
      </c>
      <c r="CE22" s="9">
        <v>198</v>
      </c>
      <c r="CF22" s="9">
        <v>198</v>
      </c>
      <c r="CG22" s="9">
        <v>180</v>
      </c>
      <c r="CH22" s="13">
        <v>191</v>
      </c>
      <c r="CI22" s="9">
        <v>192</v>
      </c>
      <c r="CJ22" s="9">
        <v>177</v>
      </c>
      <c r="CK22" s="9">
        <v>175</v>
      </c>
      <c r="CL22" s="9">
        <v>156</v>
      </c>
      <c r="CM22" s="9">
        <v>126</v>
      </c>
      <c r="CN22" s="9">
        <v>125</v>
      </c>
      <c r="CO22" s="9">
        <v>125</v>
      </c>
      <c r="CP22" s="9">
        <v>128</v>
      </c>
      <c r="CQ22" s="9">
        <v>123</v>
      </c>
      <c r="CR22" s="9">
        <v>129</v>
      </c>
      <c r="CS22" s="9">
        <v>148</v>
      </c>
      <c r="CT22" s="13">
        <v>171</v>
      </c>
      <c r="CU22" s="9">
        <v>183</v>
      </c>
      <c r="CV22" s="9">
        <v>178</v>
      </c>
      <c r="CW22" s="9">
        <v>174</v>
      </c>
      <c r="CX22" s="9">
        <v>147</v>
      </c>
      <c r="CY22" s="9">
        <v>158</v>
      </c>
      <c r="CZ22" s="9">
        <v>146</v>
      </c>
      <c r="DA22" s="9">
        <v>148</v>
      </c>
      <c r="DB22" s="9">
        <v>155</v>
      </c>
      <c r="DC22" s="9">
        <v>155</v>
      </c>
      <c r="DD22" s="9">
        <v>165</v>
      </c>
      <c r="DE22" s="9">
        <v>174</v>
      </c>
      <c r="DF22" s="13">
        <v>193</v>
      </c>
      <c r="DG22" s="9">
        <v>210</v>
      </c>
      <c r="DH22" s="9">
        <v>203</v>
      </c>
      <c r="DI22" s="9">
        <v>188</v>
      </c>
      <c r="DJ22" s="9">
        <v>188</v>
      </c>
      <c r="DK22" s="9">
        <v>184</v>
      </c>
      <c r="DL22" s="9">
        <v>183</v>
      </c>
      <c r="DM22" s="9">
        <v>201</v>
      </c>
      <c r="DN22" s="9">
        <v>193</v>
      </c>
      <c r="DO22" s="9">
        <v>174</v>
      </c>
      <c r="DP22" s="9">
        <v>178</v>
      </c>
      <c r="DQ22" s="9">
        <v>191</v>
      </c>
      <c r="DR22" s="13">
        <v>202</v>
      </c>
      <c r="DS22" s="9">
        <v>215</v>
      </c>
      <c r="DT22" s="9">
        <v>204</v>
      </c>
      <c r="DU22" s="9">
        <v>188</v>
      </c>
      <c r="DV22" s="9">
        <v>174</v>
      </c>
      <c r="DW22" s="9">
        <v>172</v>
      </c>
      <c r="DX22" s="9">
        <v>172</v>
      </c>
      <c r="DY22" s="9">
        <v>172</v>
      </c>
      <c r="DZ22" s="9">
        <v>175</v>
      </c>
      <c r="EA22" s="9">
        <v>169</v>
      </c>
      <c r="EB22" s="9">
        <v>167</v>
      </c>
      <c r="EC22" s="9">
        <v>183</v>
      </c>
      <c r="ED22" s="13">
        <v>183</v>
      </c>
      <c r="EE22" s="9">
        <v>177</v>
      </c>
      <c r="EF22" s="9">
        <v>176</v>
      </c>
      <c r="EG22" s="9">
        <v>187</v>
      </c>
      <c r="EH22" s="9">
        <v>183</v>
      </c>
      <c r="EI22" s="9">
        <v>169</v>
      </c>
      <c r="EJ22" s="9">
        <v>181</v>
      </c>
      <c r="EK22" s="9">
        <v>181</v>
      </c>
      <c r="EL22" s="9">
        <v>182</v>
      </c>
      <c r="EM22" s="9">
        <v>174</v>
      </c>
      <c r="EN22" s="9">
        <v>190</v>
      </c>
      <c r="EO22" s="9">
        <v>195</v>
      </c>
      <c r="EP22" s="13">
        <v>231</v>
      </c>
      <c r="EQ22" s="9">
        <v>237</v>
      </c>
      <c r="ER22" s="9">
        <v>235</v>
      </c>
      <c r="ES22" s="9">
        <v>222</v>
      </c>
      <c r="ET22" s="9">
        <v>209</v>
      </c>
      <c r="EU22" s="9">
        <v>207</v>
      </c>
      <c r="EV22" s="9">
        <v>187</v>
      </c>
      <c r="EW22" s="9">
        <v>194</v>
      </c>
      <c r="EX22" s="9">
        <v>216</v>
      </c>
      <c r="EY22" s="9">
        <v>219</v>
      </c>
      <c r="EZ22" s="9">
        <v>219</v>
      </c>
      <c r="FA22" s="9">
        <v>226</v>
      </c>
      <c r="FB22" s="13">
        <v>226</v>
      </c>
      <c r="FC22" s="9">
        <v>236</v>
      </c>
      <c r="FD22" s="36">
        <v>239</v>
      </c>
      <c r="FE22" s="33">
        <v>247</v>
      </c>
      <c r="FF22" s="33">
        <v>225</v>
      </c>
      <c r="FG22" s="36">
        <v>216</v>
      </c>
      <c r="FH22" s="36">
        <v>205</v>
      </c>
      <c r="FI22" s="36">
        <v>206</v>
      </c>
      <c r="FJ22" s="36">
        <v>196</v>
      </c>
      <c r="FK22" s="36">
        <v>204</v>
      </c>
      <c r="FL22" s="1">
        <v>196</v>
      </c>
      <c r="FM22" s="1">
        <v>188</v>
      </c>
      <c r="FN22" s="6">
        <v>206</v>
      </c>
      <c r="FO22" s="1">
        <v>210</v>
      </c>
      <c r="FP22" s="1">
        <v>195</v>
      </c>
      <c r="FQ22" s="1">
        <v>196</v>
      </c>
      <c r="FR22" s="1">
        <v>164</v>
      </c>
      <c r="FS22" s="1">
        <v>146</v>
      </c>
      <c r="FT22" s="1">
        <v>139</v>
      </c>
      <c r="FU22" s="1">
        <v>137</v>
      </c>
      <c r="FV22" s="1">
        <v>144</v>
      </c>
      <c r="FW22" s="1">
        <v>139</v>
      </c>
      <c r="FX22" s="1">
        <v>125</v>
      </c>
      <c r="FY22" s="1">
        <v>115</v>
      </c>
      <c r="FZ22" s="1">
        <v>126</v>
      </c>
      <c r="GA22" s="48">
        <v>147</v>
      </c>
      <c r="GB22" s="1">
        <v>145</v>
      </c>
      <c r="GC22" s="1">
        <v>146</v>
      </c>
      <c r="GD22" s="1">
        <v>132</v>
      </c>
      <c r="GE22" s="1">
        <v>109</v>
      </c>
      <c r="GF22" s="1">
        <v>103</v>
      </c>
      <c r="GG22" s="1">
        <v>114</v>
      </c>
      <c r="GH22" s="1">
        <v>120</v>
      </c>
      <c r="GI22" s="1">
        <v>123</v>
      </c>
      <c r="GJ22" s="1">
        <v>125</v>
      </c>
      <c r="GK22" s="1">
        <v>122</v>
      </c>
      <c r="GL22" s="1">
        <v>141</v>
      </c>
      <c r="GM22" s="48">
        <v>150</v>
      </c>
      <c r="GN22" s="1">
        <v>150</v>
      </c>
      <c r="GO22" s="1">
        <v>163</v>
      </c>
      <c r="GP22" s="1">
        <v>193</v>
      </c>
      <c r="GQ22" s="1">
        <v>188</v>
      </c>
      <c r="GR22" s="1">
        <v>181</v>
      </c>
      <c r="GS22" s="1">
        <v>200</v>
      </c>
      <c r="GT22" s="1">
        <v>221</v>
      </c>
      <c r="GU22" s="1">
        <v>226</v>
      </c>
      <c r="GV22" s="1">
        <v>218</v>
      </c>
      <c r="GW22" s="1">
        <v>211</v>
      </c>
      <c r="GX22" s="6">
        <v>229</v>
      </c>
      <c r="GY22" s="1">
        <v>234</v>
      </c>
      <c r="GZ22" s="1">
        <v>240</v>
      </c>
      <c r="HA22" s="1">
        <v>223</v>
      </c>
      <c r="HB22" s="1">
        <v>217</v>
      </c>
      <c r="HC22" s="1">
        <v>195</v>
      </c>
      <c r="HD22" s="1">
        <v>196</v>
      </c>
      <c r="HE22" s="1">
        <v>208</v>
      </c>
      <c r="HF22" s="1">
        <v>205</v>
      </c>
      <c r="HG22" s="1">
        <v>186</v>
      </c>
      <c r="HH22" s="1">
        <v>189</v>
      </c>
      <c r="HI22" s="1">
        <v>180</v>
      </c>
      <c r="HJ22" s="1">
        <v>191</v>
      </c>
      <c r="HK22" s="48">
        <v>184</v>
      </c>
      <c r="HL22" s="1">
        <v>189</v>
      </c>
      <c r="HM22" s="1">
        <v>178</v>
      </c>
      <c r="HN22" s="1">
        <v>174</v>
      </c>
      <c r="HO22" s="1">
        <v>164</v>
      </c>
      <c r="HP22" s="1">
        <v>162</v>
      </c>
      <c r="HQ22" s="1">
        <v>154</v>
      </c>
      <c r="HR22" s="1">
        <v>152</v>
      </c>
      <c r="HS22" s="1">
        <v>128</v>
      </c>
      <c r="HT22" s="1">
        <v>122</v>
      </c>
      <c r="HU22" s="1">
        <v>140</v>
      </c>
      <c r="HV22" s="1">
        <v>153</v>
      </c>
      <c r="HW22" s="48">
        <v>152</v>
      </c>
      <c r="HX22" s="1">
        <v>141</v>
      </c>
      <c r="HY22" s="1">
        <v>132</v>
      </c>
      <c r="HZ22" s="1">
        <v>129</v>
      </c>
      <c r="IA22" s="1">
        <v>131</v>
      </c>
      <c r="IB22" s="1">
        <v>137</v>
      </c>
      <c r="IC22" s="1">
        <v>132</v>
      </c>
      <c r="ID22" s="1">
        <v>133</v>
      </c>
      <c r="IE22" s="1">
        <v>138</v>
      </c>
      <c r="IF22" s="1">
        <v>135</v>
      </c>
      <c r="IG22" s="1">
        <v>148</v>
      </c>
      <c r="IH22" s="1">
        <v>162</v>
      </c>
      <c r="II22" s="48">
        <v>176</v>
      </c>
      <c r="IJ22" s="1">
        <v>172</v>
      </c>
      <c r="IK22" s="1">
        <v>164</v>
      </c>
      <c r="IL22" s="1">
        <v>160</v>
      </c>
      <c r="IM22" s="1">
        <v>161</v>
      </c>
      <c r="IN22" s="1">
        <v>175</v>
      </c>
      <c r="IO22" s="1">
        <v>176</v>
      </c>
      <c r="IP22" s="1">
        <v>171</v>
      </c>
      <c r="IQ22" s="1">
        <v>186</v>
      </c>
      <c r="IR22" s="1">
        <v>183</v>
      </c>
      <c r="IS22" s="1">
        <v>203</v>
      </c>
      <c r="IT22" s="6">
        <v>226</v>
      </c>
      <c r="IU22" s="1">
        <v>254</v>
      </c>
      <c r="IV22" s="1">
        <v>240</v>
      </c>
      <c r="IW22" s="1">
        <v>232</v>
      </c>
      <c r="IX22" s="1">
        <v>223</v>
      </c>
      <c r="IY22" s="1">
        <v>231</v>
      </c>
      <c r="IZ22" s="1">
        <v>220</v>
      </c>
      <c r="JA22" s="1">
        <v>214</v>
      </c>
      <c r="JB22" s="1">
        <v>211</v>
      </c>
      <c r="JC22" s="1">
        <v>215</v>
      </c>
      <c r="JD22" s="1">
        <v>227</v>
      </c>
      <c r="JE22" s="1">
        <v>235</v>
      </c>
      <c r="JF22" s="1">
        <v>239</v>
      </c>
      <c r="JG22" s="48">
        <v>255</v>
      </c>
      <c r="JH22" s="1">
        <v>259</v>
      </c>
      <c r="JI22" s="1">
        <v>249</v>
      </c>
    </row>
    <row r="23" spans="1:269" ht="13.5" x14ac:dyDescent="0.25">
      <c r="A23" s="1" t="s">
        <v>34</v>
      </c>
      <c r="B23" s="1">
        <v>18</v>
      </c>
      <c r="C23" s="9">
        <v>440</v>
      </c>
      <c r="D23" s="9">
        <v>456</v>
      </c>
      <c r="E23" s="9">
        <v>436</v>
      </c>
      <c r="F23" s="9">
        <v>431</v>
      </c>
      <c r="G23" s="9">
        <v>429</v>
      </c>
      <c r="H23" s="9">
        <v>418</v>
      </c>
      <c r="I23" s="9">
        <v>416</v>
      </c>
      <c r="J23" s="9">
        <v>422</v>
      </c>
      <c r="K23" s="9">
        <v>407</v>
      </c>
      <c r="L23" s="9">
        <v>419</v>
      </c>
      <c r="M23" s="9">
        <v>422</v>
      </c>
      <c r="N23" s="13">
        <v>465</v>
      </c>
      <c r="O23" s="9">
        <f>187+275</f>
        <v>462</v>
      </c>
      <c r="P23" s="9">
        <f>197+252</f>
        <v>449</v>
      </c>
      <c r="Q23" s="9">
        <f>255+196</f>
        <v>451</v>
      </c>
      <c r="R23" s="9">
        <f>80+113+114+120</f>
        <v>427</v>
      </c>
      <c r="S23" s="9">
        <f>221+184</f>
        <v>405</v>
      </c>
      <c r="T23" s="9">
        <f>185+221</f>
        <v>406</v>
      </c>
      <c r="U23" s="9">
        <f>220+189</f>
        <v>409</v>
      </c>
      <c r="V23" s="9">
        <f>211+233</f>
        <v>444</v>
      </c>
      <c r="W23" s="9">
        <f>199+218</f>
        <v>417</v>
      </c>
      <c r="X23" s="9">
        <f>186+226</f>
        <v>412</v>
      </c>
      <c r="Y23" s="9">
        <f>229+162</f>
        <v>391</v>
      </c>
      <c r="Z23" s="13">
        <f>248+184</f>
        <v>432</v>
      </c>
      <c r="AA23" s="9">
        <f>197+251</f>
        <v>448</v>
      </c>
      <c r="AB23" s="9">
        <v>450</v>
      </c>
      <c r="AC23" s="9">
        <v>430</v>
      </c>
      <c r="AD23" s="9">
        <v>397</v>
      </c>
      <c r="AE23" s="9">
        <f>217+160</f>
        <v>377</v>
      </c>
      <c r="AF23" s="9">
        <f>213+154</f>
        <v>367</v>
      </c>
      <c r="AG23" s="9">
        <f>209+161</f>
        <v>370</v>
      </c>
      <c r="AH23" s="9">
        <f>188+152</f>
        <v>340</v>
      </c>
      <c r="AI23" s="9">
        <v>328</v>
      </c>
      <c r="AJ23" s="9">
        <f>187+133</f>
        <v>320</v>
      </c>
      <c r="AK23" s="9">
        <f>175+138</f>
        <v>313</v>
      </c>
      <c r="AL23" s="13">
        <f>187+145</f>
        <v>332</v>
      </c>
      <c r="AM23" s="9">
        <f>193+149</f>
        <v>342</v>
      </c>
      <c r="AN23" s="9">
        <f>200+152</f>
        <v>352</v>
      </c>
      <c r="AO23" s="9">
        <f>198+141</f>
        <v>339</v>
      </c>
      <c r="AP23" s="9">
        <f>134+189</f>
        <v>323</v>
      </c>
      <c r="AQ23" s="9">
        <f>182+134</f>
        <v>316</v>
      </c>
      <c r="AR23" s="9">
        <f>187+115</f>
        <v>302</v>
      </c>
      <c r="AS23" s="9">
        <f>189+116</f>
        <v>305</v>
      </c>
      <c r="AT23" s="9">
        <f>183+124</f>
        <v>307</v>
      </c>
      <c r="AU23" s="9">
        <f>175+96</f>
        <v>271</v>
      </c>
      <c r="AV23" s="9">
        <f>172+119</f>
        <v>291</v>
      </c>
      <c r="AW23" s="9">
        <f>178+133</f>
        <v>311</v>
      </c>
      <c r="AX23" s="13">
        <f>190+162</f>
        <v>352</v>
      </c>
      <c r="AY23" s="9">
        <f>177+136</f>
        <v>313</v>
      </c>
      <c r="AZ23" s="9">
        <f>164+132</f>
        <v>296</v>
      </c>
      <c r="BA23" s="9">
        <f>151+127</f>
        <v>278</v>
      </c>
      <c r="BB23" s="9">
        <f>157+131</f>
        <v>288</v>
      </c>
      <c r="BC23" s="9">
        <f>154+111</f>
        <v>265</v>
      </c>
      <c r="BD23" s="9">
        <f>157+107</f>
        <v>264</v>
      </c>
      <c r="BE23" s="9">
        <f>154+111</f>
        <v>265</v>
      </c>
      <c r="BF23" s="9">
        <f>143+107</f>
        <v>250</v>
      </c>
      <c r="BG23" s="9">
        <f>153+121</f>
        <v>274</v>
      </c>
      <c r="BH23" s="9">
        <f>154+123</f>
        <v>277</v>
      </c>
      <c r="BI23" s="9">
        <v>281</v>
      </c>
      <c r="BJ23" s="13">
        <f>179+131</f>
        <v>310</v>
      </c>
      <c r="BK23" s="9">
        <f>187+144</f>
        <v>331</v>
      </c>
      <c r="BL23" s="9">
        <f>205+148</f>
        <v>353</v>
      </c>
      <c r="BM23" s="9">
        <f>207+155</f>
        <v>362</v>
      </c>
      <c r="BN23" s="9">
        <f>206+159</f>
        <v>365</v>
      </c>
      <c r="BO23" s="9">
        <f>210+176</f>
        <v>386</v>
      </c>
      <c r="BP23" s="9">
        <v>417</v>
      </c>
      <c r="BQ23" s="9">
        <v>421</v>
      </c>
      <c r="BR23" s="9">
        <v>416</v>
      </c>
      <c r="BS23" s="9">
        <v>447</v>
      </c>
      <c r="BT23" s="9">
        <v>442</v>
      </c>
      <c r="BU23" s="9">
        <v>438</v>
      </c>
      <c r="BV23" s="13">
        <v>448</v>
      </c>
      <c r="BW23" s="9">
        <v>434</v>
      </c>
      <c r="BX23" s="9">
        <v>438</v>
      </c>
      <c r="BY23" s="9">
        <v>433</v>
      </c>
      <c r="BZ23" s="9">
        <v>437</v>
      </c>
      <c r="CA23" s="9">
        <v>425</v>
      </c>
      <c r="CB23" s="9">
        <v>409</v>
      </c>
      <c r="CC23" s="9">
        <v>414</v>
      </c>
      <c r="CD23" s="9">
        <v>419</v>
      </c>
      <c r="CE23" s="9">
        <v>433</v>
      </c>
      <c r="CF23" s="9">
        <v>433</v>
      </c>
      <c r="CG23" s="9">
        <v>445</v>
      </c>
      <c r="CH23" s="13">
        <v>463</v>
      </c>
      <c r="CI23" s="9">
        <v>460</v>
      </c>
      <c r="CJ23" s="9">
        <v>443</v>
      </c>
      <c r="CK23" s="9">
        <v>427</v>
      </c>
      <c r="CL23" s="9">
        <v>393</v>
      </c>
      <c r="CM23" s="9">
        <v>369</v>
      </c>
      <c r="CN23" s="9">
        <v>360</v>
      </c>
      <c r="CO23" s="9">
        <v>361</v>
      </c>
      <c r="CP23" s="9">
        <v>334</v>
      </c>
      <c r="CQ23" s="9">
        <v>338</v>
      </c>
      <c r="CR23" s="9">
        <v>346</v>
      </c>
      <c r="CS23" s="9">
        <v>357</v>
      </c>
      <c r="CT23" s="13">
        <v>387</v>
      </c>
      <c r="CU23" s="9">
        <v>403</v>
      </c>
      <c r="CV23" s="9">
        <v>399</v>
      </c>
      <c r="CW23" s="9">
        <v>390</v>
      </c>
      <c r="CX23" s="9">
        <v>392</v>
      </c>
      <c r="CY23" s="9">
        <v>375</v>
      </c>
      <c r="CZ23" s="9">
        <v>363</v>
      </c>
      <c r="DA23" s="9">
        <v>365</v>
      </c>
      <c r="DB23" s="9">
        <v>376</v>
      </c>
      <c r="DC23" s="9">
        <v>375</v>
      </c>
      <c r="DD23" s="9">
        <v>387</v>
      </c>
      <c r="DE23" s="9">
        <v>419</v>
      </c>
      <c r="DF23" s="13">
        <v>446</v>
      </c>
      <c r="DG23" s="9">
        <v>472</v>
      </c>
      <c r="DH23" s="9">
        <v>456</v>
      </c>
      <c r="DI23" s="9">
        <v>430</v>
      </c>
      <c r="DJ23" s="9">
        <v>407</v>
      </c>
      <c r="DK23" s="9">
        <v>376</v>
      </c>
      <c r="DL23" s="9">
        <v>353</v>
      </c>
      <c r="DM23" s="9">
        <v>366</v>
      </c>
      <c r="DN23" s="9">
        <v>347</v>
      </c>
      <c r="DO23" s="9">
        <v>327</v>
      </c>
      <c r="DP23" s="9">
        <v>339</v>
      </c>
      <c r="DQ23" s="9">
        <v>339</v>
      </c>
      <c r="DR23" s="13">
        <v>352</v>
      </c>
      <c r="DS23" s="9">
        <v>368</v>
      </c>
      <c r="DT23" s="9">
        <v>372</v>
      </c>
      <c r="DU23" s="9">
        <v>399</v>
      </c>
      <c r="DV23" s="9">
        <v>385</v>
      </c>
      <c r="DW23" s="9">
        <v>366</v>
      </c>
      <c r="DX23" s="9">
        <v>368</v>
      </c>
      <c r="DY23" s="9">
        <v>371</v>
      </c>
      <c r="DZ23" s="9">
        <v>367</v>
      </c>
      <c r="EA23" s="9">
        <v>374</v>
      </c>
      <c r="EB23" s="9">
        <v>365</v>
      </c>
      <c r="EC23" s="9">
        <v>364</v>
      </c>
      <c r="ED23" s="13">
        <v>389</v>
      </c>
      <c r="EE23" s="9">
        <v>393</v>
      </c>
      <c r="EF23" s="9">
        <v>407</v>
      </c>
      <c r="EG23" s="9">
        <v>402</v>
      </c>
      <c r="EH23" s="9">
        <v>376</v>
      </c>
      <c r="EI23" s="9">
        <v>359</v>
      </c>
      <c r="EJ23" s="9">
        <v>347</v>
      </c>
      <c r="EK23" s="9">
        <v>369</v>
      </c>
      <c r="EL23" s="9">
        <v>415</v>
      </c>
      <c r="EM23" s="9">
        <v>402</v>
      </c>
      <c r="EN23" s="9">
        <v>412</v>
      </c>
      <c r="EO23" s="9">
        <v>452</v>
      </c>
      <c r="EP23" s="13">
        <v>492</v>
      </c>
      <c r="EQ23" s="9">
        <v>519</v>
      </c>
      <c r="ER23" s="9">
        <v>524</v>
      </c>
      <c r="ES23" s="9">
        <v>509</v>
      </c>
      <c r="ET23" s="9">
        <v>486</v>
      </c>
      <c r="EU23" s="9">
        <v>486</v>
      </c>
      <c r="EV23" s="9">
        <v>459</v>
      </c>
      <c r="EW23" s="9">
        <v>459</v>
      </c>
      <c r="EX23" s="9">
        <v>459</v>
      </c>
      <c r="EY23" s="9">
        <v>445</v>
      </c>
      <c r="EZ23" s="9">
        <v>450</v>
      </c>
      <c r="FA23" s="9">
        <v>460</v>
      </c>
      <c r="FB23" s="13">
        <v>477</v>
      </c>
      <c r="FC23" s="9">
        <v>491</v>
      </c>
      <c r="FD23" s="36">
        <v>483</v>
      </c>
      <c r="FE23" s="33">
        <v>457</v>
      </c>
      <c r="FF23" s="33">
        <v>469</v>
      </c>
      <c r="FG23" s="36">
        <v>456</v>
      </c>
      <c r="FH23" s="36">
        <v>429</v>
      </c>
      <c r="FI23" s="36">
        <v>426</v>
      </c>
      <c r="FJ23" s="36">
        <v>412</v>
      </c>
      <c r="FK23" s="36">
        <v>409</v>
      </c>
      <c r="FL23" s="1">
        <v>400</v>
      </c>
      <c r="FM23" s="1">
        <v>409</v>
      </c>
      <c r="FN23" s="6">
        <v>428</v>
      </c>
      <c r="FO23" s="1">
        <v>463</v>
      </c>
      <c r="FP23" s="1">
        <v>459</v>
      </c>
      <c r="FQ23" s="1">
        <v>420</v>
      </c>
      <c r="FR23" s="1">
        <v>395</v>
      </c>
      <c r="FS23" s="1">
        <v>359</v>
      </c>
      <c r="FT23" s="1">
        <v>380</v>
      </c>
      <c r="FU23" s="1">
        <v>353</v>
      </c>
      <c r="FV23" s="1">
        <v>349</v>
      </c>
      <c r="FW23" s="1">
        <v>341</v>
      </c>
      <c r="FX23" s="1">
        <v>334</v>
      </c>
      <c r="FY23" s="1">
        <v>315</v>
      </c>
      <c r="FZ23" s="1">
        <v>337</v>
      </c>
      <c r="GA23" s="48">
        <v>345</v>
      </c>
      <c r="GB23" s="1">
        <v>350</v>
      </c>
      <c r="GC23" s="1">
        <v>320</v>
      </c>
      <c r="GD23" s="1">
        <v>298</v>
      </c>
      <c r="GE23" s="1">
        <v>278</v>
      </c>
      <c r="GF23" s="1">
        <v>295</v>
      </c>
      <c r="GG23" s="1">
        <v>267</v>
      </c>
      <c r="GH23" s="1">
        <v>264</v>
      </c>
      <c r="GI23" s="1">
        <v>269</v>
      </c>
      <c r="GJ23" s="1">
        <v>260</v>
      </c>
      <c r="GK23" s="1">
        <v>273</v>
      </c>
      <c r="GL23" s="1">
        <v>337</v>
      </c>
      <c r="GM23" s="48">
        <v>355</v>
      </c>
      <c r="GN23" s="1">
        <v>336</v>
      </c>
      <c r="GO23" s="1">
        <v>362</v>
      </c>
      <c r="GP23" s="1">
        <v>435</v>
      </c>
      <c r="GQ23" s="1">
        <v>493</v>
      </c>
      <c r="GR23" s="1">
        <v>472</v>
      </c>
      <c r="GS23" s="1">
        <v>449</v>
      </c>
      <c r="GT23" s="1">
        <v>469</v>
      </c>
      <c r="GU23" s="1">
        <v>449</v>
      </c>
      <c r="GV23" s="1">
        <v>448</v>
      </c>
      <c r="GW23" s="1">
        <v>444</v>
      </c>
      <c r="GX23" s="6">
        <v>457</v>
      </c>
      <c r="GY23" s="1">
        <v>487</v>
      </c>
      <c r="GZ23" s="1">
        <v>483</v>
      </c>
      <c r="HA23" s="1">
        <v>466</v>
      </c>
      <c r="HB23" s="1">
        <v>449</v>
      </c>
      <c r="HC23" s="1">
        <v>429</v>
      </c>
      <c r="HD23" s="1">
        <v>415</v>
      </c>
      <c r="HE23" s="1">
        <v>404</v>
      </c>
      <c r="HF23" s="1">
        <v>387</v>
      </c>
      <c r="HG23" s="1">
        <v>368</v>
      </c>
      <c r="HH23" s="1">
        <v>332</v>
      </c>
      <c r="HI23" s="1">
        <v>369</v>
      </c>
      <c r="HJ23" s="1">
        <v>385</v>
      </c>
      <c r="HK23" s="48">
        <v>400</v>
      </c>
      <c r="HL23" s="1">
        <v>381</v>
      </c>
      <c r="HM23" s="1">
        <v>360</v>
      </c>
      <c r="HN23" s="1">
        <v>341</v>
      </c>
      <c r="HO23" s="1">
        <v>319</v>
      </c>
      <c r="HP23" s="1">
        <v>300</v>
      </c>
      <c r="HQ23" s="1">
        <v>299</v>
      </c>
      <c r="HR23" s="1">
        <v>283</v>
      </c>
      <c r="HS23" s="1">
        <v>267</v>
      </c>
      <c r="HT23" s="1">
        <v>257</v>
      </c>
      <c r="HU23" s="1">
        <v>263</v>
      </c>
      <c r="HV23" s="1">
        <v>281</v>
      </c>
      <c r="HW23" s="48">
        <v>281</v>
      </c>
      <c r="HX23" s="1">
        <v>287</v>
      </c>
      <c r="HY23" s="1">
        <v>263</v>
      </c>
      <c r="HZ23" s="1">
        <v>259</v>
      </c>
      <c r="IA23" s="1">
        <v>255</v>
      </c>
      <c r="IB23" s="1">
        <v>245</v>
      </c>
      <c r="IC23" s="1">
        <v>266</v>
      </c>
      <c r="ID23" s="1">
        <v>299</v>
      </c>
      <c r="IE23" s="1">
        <v>284</v>
      </c>
      <c r="IF23" s="1">
        <v>288</v>
      </c>
      <c r="IG23" s="1">
        <v>299</v>
      </c>
      <c r="IH23" s="1">
        <v>326</v>
      </c>
      <c r="II23" s="48">
        <v>337</v>
      </c>
      <c r="IJ23" s="1">
        <v>341</v>
      </c>
      <c r="IK23" s="1">
        <v>317</v>
      </c>
      <c r="IL23" s="1">
        <v>325</v>
      </c>
      <c r="IM23" s="1">
        <v>322</v>
      </c>
      <c r="IN23" s="1">
        <v>324</v>
      </c>
      <c r="IO23" s="1">
        <v>328</v>
      </c>
      <c r="IP23" s="1">
        <v>353</v>
      </c>
      <c r="IQ23" s="1">
        <v>352</v>
      </c>
      <c r="IR23" s="1">
        <v>342</v>
      </c>
      <c r="IS23" s="1">
        <v>339</v>
      </c>
      <c r="IT23" s="6">
        <v>374</v>
      </c>
      <c r="IU23" s="1">
        <v>377</v>
      </c>
      <c r="IV23" s="1">
        <v>361</v>
      </c>
      <c r="IW23" s="1">
        <v>360</v>
      </c>
      <c r="IX23" s="1">
        <v>376</v>
      </c>
      <c r="IY23" s="1">
        <v>381</v>
      </c>
      <c r="IZ23" s="1">
        <v>397</v>
      </c>
      <c r="JA23" s="1">
        <v>396</v>
      </c>
      <c r="JB23" s="1">
        <v>409</v>
      </c>
      <c r="JC23" s="1">
        <v>403</v>
      </c>
      <c r="JD23" s="1">
        <v>412</v>
      </c>
      <c r="JE23" s="1">
        <v>386</v>
      </c>
      <c r="JF23" s="1">
        <v>411</v>
      </c>
      <c r="JG23" s="48">
        <v>429</v>
      </c>
      <c r="JH23" s="1">
        <v>432</v>
      </c>
      <c r="JI23" s="1">
        <v>419</v>
      </c>
    </row>
    <row r="24" spans="1:269" ht="14.25" thickBot="1" x14ac:dyDescent="0.3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3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3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3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3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13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13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13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13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13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13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13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13"/>
      <c r="FC24" s="9"/>
      <c r="FD24" s="36"/>
      <c r="FE24" s="33"/>
      <c r="FF24" s="33"/>
      <c r="FG24" s="36"/>
      <c r="FH24" s="36"/>
      <c r="FI24" s="36"/>
      <c r="FJ24" s="36"/>
      <c r="FK24" s="36"/>
      <c r="FN24" s="6"/>
      <c r="GA24" s="48"/>
      <c r="GM24" s="48"/>
      <c r="GX24" s="6"/>
      <c r="HK24" s="48"/>
      <c r="HW24" s="48"/>
      <c r="II24" s="48"/>
      <c r="IT24" s="6"/>
      <c r="JG24" s="48"/>
    </row>
    <row r="25" spans="1:269" ht="15" thickBot="1" x14ac:dyDescent="0.3">
      <c r="A25" s="5" t="s">
        <v>42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4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4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4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4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4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4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4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4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4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4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4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4"/>
      <c r="EQ25" s="10"/>
      <c r="ER25" s="10"/>
      <c r="ES25" s="10"/>
      <c r="ET25" s="10"/>
      <c r="EU25" s="10"/>
      <c r="EV25" s="10"/>
      <c r="EW25" s="10"/>
      <c r="EX25" s="9"/>
      <c r="EY25" s="9"/>
      <c r="EZ25" s="9"/>
      <c r="FA25" s="9"/>
      <c r="FB25" s="13"/>
      <c r="FC25" s="9"/>
      <c r="FD25" s="36"/>
      <c r="FE25" s="42"/>
      <c r="FF25" s="33"/>
      <c r="FG25" s="36"/>
      <c r="FH25" s="36"/>
      <c r="FI25" s="36"/>
      <c r="FJ25" s="36"/>
      <c r="FK25" s="36"/>
      <c r="FN25" s="6"/>
      <c r="GA25" s="48"/>
      <c r="GM25" s="48"/>
      <c r="GX25" s="57"/>
      <c r="HK25" s="48"/>
      <c r="HW25" s="48"/>
      <c r="II25" s="48"/>
      <c r="IT25" s="6"/>
      <c r="JG25" s="48"/>
    </row>
    <row r="26" spans="1:269" ht="13.5" x14ac:dyDescent="0.25">
      <c r="A26" s="1" t="s">
        <v>30</v>
      </c>
      <c r="B26" s="1">
        <v>19</v>
      </c>
      <c r="C26" s="9">
        <v>3186</v>
      </c>
      <c r="D26" s="9">
        <v>3175</v>
      </c>
      <c r="E26" s="9">
        <v>3104</v>
      </c>
      <c r="F26" s="9">
        <v>2984</v>
      </c>
      <c r="G26" s="9">
        <v>2903</v>
      </c>
      <c r="H26" s="9">
        <v>2843</v>
      </c>
      <c r="I26" s="9">
        <v>2828</v>
      </c>
      <c r="J26" s="9">
        <v>2847</v>
      </c>
      <c r="K26" s="9">
        <v>2773</v>
      </c>
      <c r="L26" s="9">
        <v>2693</v>
      </c>
      <c r="M26" s="9">
        <v>2737</v>
      </c>
      <c r="N26" s="13">
        <v>2813</v>
      </c>
      <c r="O26" s="9">
        <f>86+1315+659+1633+1-O27</f>
        <v>2834</v>
      </c>
      <c r="P26" s="9">
        <f>86+1350+669+1649-P27</f>
        <v>2864</v>
      </c>
      <c r="Q26" s="9">
        <f>84+1304+649+1587-Q27</f>
        <v>2768</v>
      </c>
      <c r="R26" s="9">
        <f>84+1252+629+1576-R27</f>
        <v>2716</v>
      </c>
      <c r="S26" s="9">
        <f>81+1256+620+1566-S27</f>
        <v>2703</v>
      </c>
      <c r="T26" s="9">
        <f>T3-T32</f>
        <v>6957</v>
      </c>
      <c r="U26" s="9">
        <f>585+1561+1224+84-U27</f>
        <v>2663</v>
      </c>
      <c r="V26" s="9">
        <f>82+1215+569+1536-V27</f>
        <v>2618</v>
      </c>
      <c r="W26" s="9">
        <f>84+1180+567+1531-W27</f>
        <v>2606</v>
      </c>
      <c r="X26" s="9">
        <f>78+1222+565+1550-X27</f>
        <v>2642</v>
      </c>
      <c r="Y26" s="9">
        <f>3399-Y27</f>
        <v>2631</v>
      </c>
      <c r="Z26" s="13">
        <f>80+1235+540+1548-Z27</f>
        <v>2621</v>
      </c>
      <c r="AA26" s="9">
        <f>91+1206+519+1523-AA27</f>
        <v>2568</v>
      </c>
      <c r="AB26" s="9">
        <v>2512</v>
      </c>
      <c r="AC26" s="9">
        <v>2472</v>
      </c>
      <c r="AD26" s="9">
        <v>2401</v>
      </c>
      <c r="AE26" s="9">
        <f>88+1099+498+1346-689</f>
        <v>2342</v>
      </c>
      <c r="AF26" s="9">
        <f>78+1086+501+1309-677</f>
        <v>2297</v>
      </c>
      <c r="AG26" s="9">
        <f>80+1068+512+1328-AG27</f>
        <v>2328</v>
      </c>
      <c r="AH26" s="9">
        <f>83+1056+498+1306-AH27</f>
        <v>2286</v>
      </c>
      <c r="AI26" s="9">
        <v>2292</v>
      </c>
      <c r="AJ26" s="9">
        <f>83+1038+515+1256+1-AJ27</f>
        <v>2236</v>
      </c>
      <c r="AK26" s="9">
        <f>85+1029+495+1252-AK27</f>
        <v>2209</v>
      </c>
      <c r="AL26" s="13">
        <f>80+1031+499+1288-AL27</f>
        <v>2242</v>
      </c>
      <c r="AM26" s="9">
        <f>77+1020+491+1269-AM27</f>
        <v>2194</v>
      </c>
      <c r="AN26" s="9">
        <f>69+1002+486+1241-AN27</f>
        <v>2156</v>
      </c>
      <c r="AO26" s="9">
        <f>65+978+465+1206-AO27</f>
        <v>2098</v>
      </c>
      <c r="AP26" s="9">
        <f>71+941+457+1176-AP27</f>
        <v>2050</v>
      </c>
      <c r="AQ26" s="9">
        <f>70+907+452+1141-AQ27</f>
        <v>2002</v>
      </c>
      <c r="AR26" s="9">
        <f>67+881+438+1095-AR27</f>
        <v>1927</v>
      </c>
      <c r="AS26" s="9">
        <f>68+866+444+1110-AS27</f>
        <v>1943</v>
      </c>
      <c r="AT26" s="9">
        <f>72+893+436+1108-AT27</f>
        <v>1940</v>
      </c>
      <c r="AU26" s="9">
        <f>72+823+431+1122-AU27+1</f>
        <v>1930</v>
      </c>
      <c r="AV26" s="9">
        <f>65+806+435+1126+1-AV27</f>
        <v>1920</v>
      </c>
      <c r="AW26" s="9">
        <f>59+806+431+1125-AW27+1</f>
        <v>1929</v>
      </c>
      <c r="AX26" s="13">
        <f>59+828+433+1130-AX27</f>
        <v>1946</v>
      </c>
      <c r="AY26" s="9">
        <f>58+870+424+1150-AY27</f>
        <v>1970</v>
      </c>
      <c r="AZ26" s="9">
        <f>62+811+417+1099-AZ27</f>
        <v>1877</v>
      </c>
      <c r="BA26" s="9">
        <f>60+786+414+1064-BA27</f>
        <v>1825</v>
      </c>
      <c r="BB26" s="9">
        <f>58+792+416+1057-BB27</f>
        <v>1810</v>
      </c>
      <c r="BC26" s="9">
        <f>51+770+385+967-BC27</f>
        <v>1661</v>
      </c>
      <c r="BD26" s="9">
        <f>45+733+382+2+922-BD27</f>
        <v>1579</v>
      </c>
      <c r="BE26" s="9">
        <f>45+744+385+926+2-BE27</f>
        <v>1590</v>
      </c>
      <c r="BF26" s="9">
        <f>51+758+395+933-BF27</f>
        <v>1613</v>
      </c>
      <c r="BG26" s="9">
        <f>59+780+385+973-BG27</f>
        <v>1661</v>
      </c>
      <c r="BH26" s="9">
        <f>58+793+393+985-BH27</f>
        <v>1687</v>
      </c>
      <c r="BI26" s="9">
        <v>1814</v>
      </c>
      <c r="BJ26" s="13">
        <f>65+958+446+1158-BJ27</f>
        <v>1989</v>
      </c>
      <c r="BK26" s="9">
        <f>68+1015+519+1237-BK27</f>
        <v>2168</v>
      </c>
      <c r="BL26" s="9">
        <f>70+1085+517+1311-BL27</f>
        <v>2264</v>
      </c>
      <c r="BM26" s="9">
        <f>67+1159+524+1381-BM27</f>
        <v>2365</v>
      </c>
      <c r="BN26" s="9">
        <f>75+1191+538+1416-BN27</f>
        <v>2430</v>
      </c>
      <c r="BO26" s="9">
        <f>70+1250+537+1444-BO27</f>
        <v>2451</v>
      </c>
      <c r="BP26" s="9">
        <v>2566</v>
      </c>
      <c r="BQ26" s="9">
        <v>2691</v>
      </c>
      <c r="BR26" s="9">
        <v>2728</v>
      </c>
      <c r="BS26" s="9">
        <v>2724</v>
      </c>
      <c r="BT26" s="9">
        <v>2800</v>
      </c>
      <c r="BU26" s="9">
        <v>2940</v>
      </c>
      <c r="BV26" s="13">
        <v>3113</v>
      </c>
      <c r="BW26" s="9">
        <v>3075</v>
      </c>
      <c r="BX26" s="9">
        <v>2995</v>
      </c>
      <c r="BY26" s="9">
        <v>2945</v>
      </c>
      <c r="BZ26" s="9">
        <v>2839</v>
      </c>
      <c r="CA26" s="9">
        <v>2700</v>
      </c>
      <c r="CB26" s="9">
        <v>2563</v>
      </c>
      <c r="CC26" s="9">
        <v>2514</v>
      </c>
      <c r="CD26" s="9">
        <v>2504</v>
      </c>
      <c r="CE26" s="9">
        <v>2399</v>
      </c>
      <c r="CF26" s="9">
        <v>2403</v>
      </c>
      <c r="CG26" s="9">
        <v>2349</v>
      </c>
      <c r="CH26" s="13">
        <v>2370</v>
      </c>
      <c r="CI26" s="9">
        <v>2317</v>
      </c>
      <c r="CJ26" s="9">
        <v>2216</v>
      </c>
      <c r="CK26" s="9">
        <v>2185</v>
      </c>
      <c r="CL26" s="9">
        <v>2012</v>
      </c>
      <c r="CM26" s="9">
        <v>1826</v>
      </c>
      <c r="CN26" s="9">
        <v>1788</v>
      </c>
      <c r="CO26" s="9">
        <v>1754</v>
      </c>
      <c r="CP26" s="9">
        <v>1896</v>
      </c>
      <c r="CQ26" s="9">
        <v>1898</v>
      </c>
      <c r="CR26" s="9">
        <v>1933</v>
      </c>
      <c r="CS26" s="9">
        <v>2003</v>
      </c>
      <c r="CT26" s="13">
        <v>2058</v>
      </c>
      <c r="CU26" s="9">
        <v>2068</v>
      </c>
      <c r="CV26" s="9">
        <v>2066</v>
      </c>
      <c r="CW26" s="9">
        <v>1972</v>
      </c>
      <c r="CX26" s="9">
        <v>1947</v>
      </c>
      <c r="CY26" s="9">
        <v>1898</v>
      </c>
      <c r="CZ26" s="9">
        <v>1868</v>
      </c>
      <c r="DA26" s="9">
        <v>1895</v>
      </c>
      <c r="DB26" s="9">
        <v>1956</v>
      </c>
      <c r="DC26" s="9">
        <v>1906</v>
      </c>
      <c r="DD26" s="9">
        <v>1984</v>
      </c>
      <c r="DE26" s="9">
        <v>2147</v>
      </c>
      <c r="DF26" s="13">
        <v>2235</v>
      </c>
      <c r="DG26" s="9">
        <v>2285</v>
      </c>
      <c r="DH26" s="9">
        <v>2298</v>
      </c>
      <c r="DI26" s="9">
        <v>2275</v>
      </c>
      <c r="DJ26" s="9">
        <v>2230</v>
      </c>
      <c r="DK26" s="9">
        <v>2177</v>
      </c>
      <c r="DL26" s="9">
        <v>2119</v>
      </c>
      <c r="DM26" s="9">
        <v>2111</v>
      </c>
      <c r="DN26" s="9">
        <v>2056</v>
      </c>
      <c r="DO26" s="9">
        <v>1992</v>
      </c>
      <c r="DP26" s="9">
        <v>2075</v>
      </c>
      <c r="DQ26" s="9">
        <v>2133</v>
      </c>
      <c r="DR26" s="13">
        <v>2165</v>
      </c>
      <c r="DS26" s="9">
        <v>2109</v>
      </c>
      <c r="DT26" s="9">
        <v>2069</v>
      </c>
      <c r="DU26" s="9">
        <v>2003</v>
      </c>
      <c r="DV26" s="9">
        <v>1976</v>
      </c>
      <c r="DW26" s="9">
        <v>1904</v>
      </c>
      <c r="DX26" s="9">
        <v>1885</v>
      </c>
      <c r="DY26" s="9">
        <v>1904</v>
      </c>
      <c r="DZ26" s="9">
        <v>1855</v>
      </c>
      <c r="EA26" s="9">
        <v>1795</v>
      </c>
      <c r="EB26" s="9">
        <v>1785</v>
      </c>
      <c r="EC26" s="9">
        <v>1843</v>
      </c>
      <c r="ED26" s="13">
        <v>1935</v>
      </c>
      <c r="EE26" s="9">
        <v>1912</v>
      </c>
      <c r="EF26" s="9">
        <v>1942</v>
      </c>
      <c r="EG26" s="9">
        <v>1961</v>
      </c>
      <c r="EH26" s="9">
        <v>1969</v>
      </c>
      <c r="EI26" s="9">
        <v>1960</v>
      </c>
      <c r="EJ26" s="9">
        <v>1973</v>
      </c>
      <c r="EK26" s="9">
        <v>2069</v>
      </c>
      <c r="EL26" s="9">
        <v>2087</v>
      </c>
      <c r="EM26" s="9">
        <v>2099</v>
      </c>
      <c r="EN26" s="9">
        <v>2144</v>
      </c>
      <c r="EO26" s="9">
        <v>2267</v>
      </c>
      <c r="EP26" s="13">
        <v>2361</v>
      </c>
      <c r="EQ26" s="9">
        <v>2335</v>
      </c>
      <c r="ER26" s="9">
        <v>2321</v>
      </c>
      <c r="ES26" s="9">
        <v>2276</v>
      </c>
      <c r="ET26" s="9">
        <v>2213</v>
      </c>
      <c r="EU26" s="9">
        <v>2213</v>
      </c>
      <c r="EV26" s="9">
        <v>2229</v>
      </c>
      <c r="EW26" s="9">
        <v>2208</v>
      </c>
      <c r="EX26" s="9">
        <v>2251</v>
      </c>
      <c r="EY26" s="9">
        <v>2284</v>
      </c>
      <c r="EZ26" s="9">
        <v>2283</v>
      </c>
      <c r="FA26" s="9">
        <v>2358</v>
      </c>
      <c r="FB26" s="13">
        <v>2402</v>
      </c>
      <c r="FC26" s="9">
        <v>2403</v>
      </c>
      <c r="FD26" s="36">
        <v>2341</v>
      </c>
      <c r="FE26" s="33">
        <v>2342</v>
      </c>
      <c r="FF26" s="33">
        <v>2249</v>
      </c>
      <c r="FG26" s="36">
        <v>2185</v>
      </c>
      <c r="FH26" s="36">
        <v>2127</v>
      </c>
      <c r="FI26" s="36">
        <v>2120</v>
      </c>
      <c r="FJ26" s="36">
        <v>2090</v>
      </c>
      <c r="FK26" s="36">
        <v>2085</v>
      </c>
      <c r="FL26" s="1">
        <v>2096</v>
      </c>
      <c r="FM26" s="1">
        <v>2153</v>
      </c>
      <c r="FN26" s="6">
        <v>2155</v>
      </c>
      <c r="FO26" s="1">
        <v>2135</v>
      </c>
      <c r="FP26" s="1">
        <v>2104</v>
      </c>
      <c r="FQ26" s="1">
        <v>2079</v>
      </c>
      <c r="FR26" s="1">
        <v>2005</v>
      </c>
      <c r="FS26" s="1">
        <v>1923</v>
      </c>
      <c r="FT26" s="1">
        <v>1825</v>
      </c>
      <c r="FU26" s="1">
        <v>1825</v>
      </c>
      <c r="FV26" s="1">
        <v>1814</v>
      </c>
      <c r="FW26" s="1">
        <v>1773</v>
      </c>
      <c r="FX26" s="1">
        <v>1778</v>
      </c>
      <c r="FY26" s="1">
        <v>1828</v>
      </c>
      <c r="FZ26" s="1">
        <v>1895</v>
      </c>
      <c r="GA26" s="48">
        <v>1898</v>
      </c>
      <c r="GB26" s="1">
        <v>1819</v>
      </c>
      <c r="GC26" s="1">
        <v>1788</v>
      </c>
      <c r="GD26" s="1">
        <v>1742</v>
      </c>
      <c r="GE26" s="1">
        <v>1678</v>
      </c>
      <c r="GF26" s="1">
        <v>1673</v>
      </c>
      <c r="GG26" s="1">
        <v>1675</v>
      </c>
      <c r="GH26" s="1">
        <v>1654</v>
      </c>
      <c r="GI26" s="1">
        <v>1675</v>
      </c>
      <c r="GJ26" s="1">
        <v>1752</v>
      </c>
      <c r="GK26" s="1">
        <v>1826</v>
      </c>
      <c r="GL26" s="1">
        <v>1888</v>
      </c>
      <c r="GM26" s="48">
        <v>1919</v>
      </c>
      <c r="GN26" s="1">
        <v>1882</v>
      </c>
      <c r="GO26" s="1">
        <v>2065</v>
      </c>
      <c r="GP26" s="1">
        <v>2261</v>
      </c>
      <c r="GQ26" s="1">
        <v>2369</v>
      </c>
      <c r="GR26" s="1">
        <v>2486</v>
      </c>
      <c r="GS26" s="1">
        <v>2561</v>
      </c>
      <c r="GT26" s="1">
        <v>2597</v>
      </c>
      <c r="GU26" s="1">
        <v>2606</v>
      </c>
      <c r="GV26" s="1">
        <v>2669</v>
      </c>
      <c r="GW26" s="1">
        <v>2791</v>
      </c>
      <c r="GX26" s="6">
        <v>2838</v>
      </c>
      <c r="GY26" s="1">
        <v>2825</v>
      </c>
      <c r="GZ26" s="1">
        <v>2815</v>
      </c>
      <c r="HA26" s="1">
        <v>2764</v>
      </c>
      <c r="HB26" s="1">
        <v>2718</v>
      </c>
      <c r="HC26" s="1">
        <v>2655</v>
      </c>
      <c r="HD26" s="1">
        <v>2559</v>
      </c>
      <c r="HE26" s="1">
        <v>2466</v>
      </c>
      <c r="HF26" s="1">
        <v>2384</v>
      </c>
      <c r="HG26" s="1">
        <v>2352</v>
      </c>
      <c r="HH26" s="1">
        <v>2287</v>
      </c>
      <c r="HI26" s="1">
        <v>2350</v>
      </c>
      <c r="HJ26" s="1">
        <v>2339</v>
      </c>
      <c r="HK26" s="48">
        <v>2337</v>
      </c>
      <c r="HL26" s="1">
        <v>2343</v>
      </c>
      <c r="HM26" s="1">
        <v>2259</v>
      </c>
      <c r="HN26" s="1">
        <v>2128</v>
      </c>
      <c r="HO26" s="1">
        <v>1988</v>
      </c>
      <c r="HP26" s="1">
        <v>1918</v>
      </c>
      <c r="HQ26" s="1">
        <v>1880</v>
      </c>
      <c r="HR26" s="1">
        <v>1797</v>
      </c>
      <c r="HS26" s="1">
        <v>1690</v>
      </c>
      <c r="HT26" s="1">
        <v>1695</v>
      </c>
      <c r="HU26" s="1">
        <v>1702</v>
      </c>
      <c r="HV26" s="1">
        <v>1635</v>
      </c>
      <c r="HW26" s="48">
        <v>1634</v>
      </c>
      <c r="HX26" s="1">
        <v>1661</v>
      </c>
      <c r="HY26" s="1">
        <v>1647</v>
      </c>
      <c r="HZ26" s="1">
        <v>1582</v>
      </c>
      <c r="IA26" s="1">
        <v>1575</v>
      </c>
      <c r="IB26" s="1">
        <v>1555</v>
      </c>
      <c r="IC26" s="1">
        <v>1579</v>
      </c>
      <c r="ID26" s="1">
        <v>1595</v>
      </c>
      <c r="IE26" s="1">
        <v>1577</v>
      </c>
      <c r="IF26" s="1">
        <v>1601</v>
      </c>
      <c r="IG26" s="1">
        <v>1661</v>
      </c>
      <c r="IH26" s="1">
        <v>1695</v>
      </c>
      <c r="II26" s="48">
        <v>1733</v>
      </c>
      <c r="IJ26" s="1">
        <v>1716</v>
      </c>
      <c r="IK26" s="1">
        <v>1742</v>
      </c>
      <c r="IL26" s="1">
        <v>1745</v>
      </c>
      <c r="IM26" s="1">
        <v>1765</v>
      </c>
      <c r="IN26" s="1">
        <v>1811</v>
      </c>
      <c r="IO26" s="1">
        <v>1889</v>
      </c>
      <c r="IP26" s="1">
        <v>1940</v>
      </c>
      <c r="IQ26" s="1">
        <v>1974</v>
      </c>
      <c r="IR26" s="1">
        <v>2064</v>
      </c>
      <c r="IS26" s="1">
        <v>2153</v>
      </c>
      <c r="IT26" s="6">
        <v>2237</v>
      </c>
      <c r="IU26" s="1">
        <v>2287</v>
      </c>
      <c r="IV26" s="1">
        <v>2311</v>
      </c>
      <c r="IW26" s="1">
        <v>2343</v>
      </c>
      <c r="IX26" s="1">
        <v>2323</v>
      </c>
      <c r="IY26" s="1">
        <v>2312</v>
      </c>
      <c r="IZ26" s="1">
        <v>2341</v>
      </c>
      <c r="JA26" s="1">
        <v>2400</v>
      </c>
      <c r="JB26" s="1">
        <v>2419</v>
      </c>
      <c r="JC26" s="1">
        <v>2431</v>
      </c>
      <c r="JD26" s="1">
        <v>2514</v>
      </c>
      <c r="JE26" s="1">
        <v>2583</v>
      </c>
      <c r="JF26" s="1">
        <v>2657</v>
      </c>
      <c r="JG26" s="48">
        <v>2694</v>
      </c>
      <c r="JH26" s="1">
        <v>2615</v>
      </c>
      <c r="JI26" s="1">
        <v>2581</v>
      </c>
    </row>
    <row r="27" spans="1:269" ht="13.5" x14ac:dyDescent="0.25">
      <c r="A27" s="1" t="s">
        <v>31</v>
      </c>
      <c r="B27" s="1">
        <v>20</v>
      </c>
      <c r="C27" s="9">
        <v>908</v>
      </c>
      <c r="D27" s="9">
        <v>903</v>
      </c>
      <c r="E27" s="9">
        <v>870</v>
      </c>
      <c r="F27" s="9">
        <v>871</v>
      </c>
      <c r="G27" s="9">
        <v>841</v>
      </c>
      <c r="H27" s="9">
        <v>809</v>
      </c>
      <c r="I27" s="9">
        <v>807</v>
      </c>
      <c r="J27" s="9">
        <v>863</v>
      </c>
      <c r="K27" s="9">
        <v>855</v>
      </c>
      <c r="L27" s="9">
        <v>825</v>
      </c>
      <c r="M27" s="9">
        <v>856</v>
      </c>
      <c r="N27" s="13">
        <v>864</v>
      </c>
      <c r="O27" s="9">
        <v>860</v>
      </c>
      <c r="P27" s="9">
        <v>890</v>
      </c>
      <c r="Q27" s="9">
        <v>856</v>
      </c>
      <c r="R27" s="9">
        <v>825</v>
      </c>
      <c r="S27" s="9">
        <v>820</v>
      </c>
      <c r="T27" s="9">
        <v>783</v>
      </c>
      <c r="U27" s="9">
        <v>791</v>
      </c>
      <c r="V27" s="9">
        <v>784</v>
      </c>
      <c r="W27" s="9">
        <v>756</v>
      </c>
      <c r="X27" s="9">
        <v>773</v>
      </c>
      <c r="Y27" s="9">
        <v>768</v>
      </c>
      <c r="Z27" s="13">
        <v>782</v>
      </c>
      <c r="AA27" s="9">
        <f>771</f>
        <v>771</v>
      </c>
      <c r="AB27" s="9">
        <v>768</v>
      </c>
      <c r="AC27" s="9">
        <v>754</v>
      </c>
      <c r="AD27" s="9">
        <v>718</v>
      </c>
      <c r="AE27" s="9">
        <v>689</v>
      </c>
      <c r="AF27" s="9">
        <v>677</v>
      </c>
      <c r="AG27" s="9">
        <v>660</v>
      </c>
      <c r="AH27" s="9">
        <f>657</f>
        <v>657</v>
      </c>
      <c r="AI27" s="9">
        <v>655</v>
      </c>
      <c r="AJ27" s="9">
        <v>657</v>
      </c>
      <c r="AK27" s="9">
        <v>652</v>
      </c>
      <c r="AL27" s="13">
        <v>656</v>
      </c>
      <c r="AM27" s="9">
        <v>663</v>
      </c>
      <c r="AN27" s="9">
        <v>642</v>
      </c>
      <c r="AO27" s="9">
        <v>616</v>
      </c>
      <c r="AP27" s="9">
        <v>595</v>
      </c>
      <c r="AQ27" s="9">
        <v>568</v>
      </c>
      <c r="AR27" s="9">
        <v>554</v>
      </c>
      <c r="AS27" s="9">
        <v>545</v>
      </c>
      <c r="AT27" s="9">
        <v>569</v>
      </c>
      <c r="AU27" s="9">
        <v>519</v>
      </c>
      <c r="AV27" s="9">
        <v>513</v>
      </c>
      <c r="AW27" s="9">
        <v>493</v>
      </c>
      <c r="AX27" s="13">
        <v>504</v>
      </c>
      <c r="AY27" s="9">
        <v>532</v>
      </c>
      <c r="AZ27" s="9">
        <v>512</v>
      </c>
      <c r="BA27" s="9">
        <v>499</v>
      </c>
      <c r="BB27" s="9">
        <v>513</v>
      </c>
      <c r="BC27" s="9">
        <v>512</v>
      </c>
      <c r="BD27" s="9">
        <f>505</f>
        <v>505</v>
      </c>
      <c r="BE27" s="9">
        <v>512</v>
      </c>
      <c r="BF27" s="9">
        <v>524</v>
      </c>
      <c r="BG27" s="9">
        <v>536</v>
      </c>
      <c r="BH27" s="9">
        <v>542</v>
      </c>
      <c r="BI27" s="9">
        <v>564</v>
      </c>
      <c r="BJ27" s="13">
        <v>638</v>
      </c>
      <c r="BK27" s="9">
        <v>671</v>
      </c>
      <c r="BL27" s="9">
        <v>719</v>
      </c>
      <c r="BM27" s="9">
        <v>766</v>
      </c>
      <c r="BN27" s="9">
        <v>790</v>
      </c>
      <c r="BO27" s="9">
        <v>850</v>
      </c>
      <c r="BP27" s="9">
        <v>903</v>
      </c>
      <c r="BQ27" s="9">
        <v>912</v>
      </c>
      <c r="BR27" s="9">
        <v>941</v>
      </c>
      <c r="BS27" s="9">
        <v>981</v>
      </c>
      <c r="BT27" s="9">
        <v>962</v>
      </c>
      <c r="BU27" s="9">
        <v>981</v>
      </c>
      <c r="BV27" s="13">
        <v>1021</v>
      </c>
      <c r="BW27" s="9">
        <v>1008</v>
      </c>
      <c r="BX27" s="9">
        <v>990</v>
      </c>
      <c r="BY27" s="9">
        <v>997</v>
      </c>
      <c r="BZ27" s="9">
        <v>936</v>
      </c>
      <c r="CA27" s="9">
        <v>899</v>
      </c>
      <c r="CB27" s="9">
        <v>860</v>
      </c>
      <c r="CC27" s="9">
        <v>827</v>
      </c>
      <c r="CD27" s="9">
        <v>822</v>
      </c>
      <c r="CE27" s="9">
        <v>783</v>
      </c>
      <c r="CF27" s="9">
        <v>772</v>
      </c>
      <c r="CG27" s="9">
        <v>781</v>
      </c>
      <c r="CH27" s="13">
        <v>796</v>
      </c>
      <c r="CI27" s="9">
        <v>789</v>
      </c>
      <c r="CJ27" s="9">
        <v>749</v>
      </c>
      <c r="CK27" s="9">
        <v>707</v>
      </c>
      <c r="CL27" s="9">
        <v>646</v>
      </c>
      <c r="CM27" s="9">
        <v>591</v>
      </c>
      <c r="CN27" s="9">
        <v>580</v>
      </c>
      <c r="CO27" s="9">
        <v>531</v>
      </c>
      <c r="CP27" s="9">
        <v>524</v>
      </c>
      <c r="CQ27" s="9">
        <v>545</v>
      </c>
      <c r="CR27" s="9">
        <v>540</v>
      </c>
      <c r="CS27" s="9">
        <v>595</v>
      </c>
      <c r="CT27" s="13">
        <v>602</v>
      </c>
      <c r="CU27" s="9">
        <v>604</v>
      </c>
      <c r="CV27" s="9">
        <v>626</v>
      </c>
      <c r="CW27" s="9">
        <v>609</v>
      </c>
      <c r="CX27" s="9">
        <v>610</v>
      </c>
      <c r="CY27" s="9">
        <v>573</v>
      </c>
      <c r="CZ27" s="9">
        <v>556</v>
      </c>
      <c r="DA27" s="9">
        <v>550</v>
      </c>
      <c r="DB27" s="9">
        <v>581</v>
      </c>
      <c r="DC27" s="9">
        <v>594</v>
      </c>
      <c r="DD27" s="9">
        <v>604</v>
      </c>
      <c r="DE27" s="9">
        <v>638</v>
      </c>
      <c r="DF27" s="13">
        <v>670</v>
      </c>
      <c r="DG27" s="9">
        <v>711</v>
      </c>
      <c r="DH27" s="9">
        <v>705</v>
      </c>
      <c r="DI27" s="9">
        <v>675</v>
      </c>
      <c r="DJ27" s="9">
        <v>661</v>
      </c>
      <c r="DK27" s="9">
        <v>646</v>
      </c>
      <c r="DL27" s="9">
        <v>628</v>
      </c>
      <c r="DM27" s="9">
        <v>637</v>
      </c>
      <c r="DN27" s="9">
        <v>672</v>
      </c>
      <c r="DO27" s="9">
        <v>681</v>
      </c>
      <c r="DP27" s="9">
        <v>738</v>
      </c>
      <c r="DQ27" s="9">
        <v>755</v>
      </c>
      <c r="DR27" s="13">
        <v>769</v>
      </c>
      <c r="DS27" s="9">
        <v>762</v>
      </c>
      <c r="DT27" s="9">
        <v>748</v>
      </c>
      <c r="DU27" s="9">
        <v>736</v>
      </c>
      <c r="DV27" s="9">
        <v>735</v>
      </c>
      <c r="DW27" s="9">
        <v>729</v>
      </c>
      <c r="DX27" s="9">
        <v>689</v>
      </c>
      <c r="DY27" s="9">
        <v>665</v>
      </c>
      <c r="DZ27" s="9">
        <v>635</v>
      </c>
      <c r="EA27" s="9">
        <v>620</v>
      </c>
      <c r="EB27" s="9">
        <v>585</v>
      </c>
      <c r="EC27" s="9">
        <v>621</v>
      </c>
      <c r="ED27" s="13">
        <v>681</v>
      </c>
      <c r="EE27" s="9">
        <v>669</v>
      </c>
      <c r="EF27" s="9">
        <v>677</v>
      </c>
      <c r="EG27" s="9">
        <v>692</v>
      </c>
      <c r="EH27" s="9">
        <v>696</v>
      </c>
      <c r="EI27" s="9">
        <v>650</v>
      </c>
      <c r="EJ27" s="9">
        <v>651</v>
      </c>
      <c r="EK27" s="9">
        <v>656</v>
      </c>
      <c r="EL27" s="9">
        <v>669</v>
      </c>
      <c r="EM27" s="9">
        <v>684</v>
      </c>
      <c r="EN27" s="9">
        <v>714</v>
      </c>
      <c r="EO27" s="9">
        <v>786</v>
      </c>
      <c r="EP27" s="13">
        <v>816</v>
      </c>
      <c r="EQ27" s="9">
        <v>822</v>
      </c>
      <c r="ER27" s="9">
        <v>824</v>
      </c>
      <c r="ES27" s="9">
        <v>818</v>
      </c>
      <c r="ET27" s="9">
        <v>814</v>
      </c>
      <c r="EU27" s="9">
        <v>805</v>
      </c>
      <c r="EV27" s="9">
        <v>795</v>
      </c>
      <c r="EW27" s="9">
        <v>775</v>
      </c>
      <c r="EX27" s="9">
        <v>776</v>
      </c>
      <c r="EY27" s="9">
        <v>798</v>
      </c>
      <c r="EZ27" s="9">
        <v>804</v>
      </c>
      <c r="FA27" s="9">
        <v>837</v>
      </c>
      <c r="FB27" s="13">
        <v>866</v>
      </c>
      <c r="FC27" s="9">
        <v>868</v>
      </c>
      <c r="FD27" s="36">
        <v>849</v>
      </c>
      <c r="FE27" s="33">
        <v>846</v>
      </c>
      <c r="FF27" s="33">
        <v>816</v>
      </c>
      <c r="FG27" s="36">
        <v>806</v>
      </c>
      <c r="FH27" s="36">
        <v>784</v>
      </c>
      <c r="FI27" s="36">
        <v>805</v>
      </c>
      <c r="FJ27" s="36">
        <v>807</v>
      </c>
      <c r="FK27" s="36">
        <v>805</v>
      </c>
      <c r="FL27" s="1">
        <v>770</v>
      </c>
      <c r="FM27" s="1">
        <v>768</v>
      </c>
      <c r="FN27" s="6">
        <v>777</v>
      </c>
      <c r="FO27" s="1">
        <v>777</v>
      </c>
      <c r="FP27" s="1">
        <v>777</v>
      </c>
      <c r="FQ27" s="1">
        <v>757</v>
      </c>
      <c r="FR27" s="1">
        <v>706</v>
      </c>
      <c r="FS27" s="1">
        <v>669</v>
      </c>
      <c r="FT27" s="1">
        <v>651</v>
      </c>
      <c r="FU27" s="1">
        <v>662</v>
      </c>
      <c r="FV27" s="1">
        <v>648</v>
      </c>
      <c r="FW27" s="1">
        <v>638</v>
      </c>
      <c r="FX27" s="1">
        <v>650</v>
      </c>
      <c r="FY27" s="1">
        <v>697</v>
      </c>
      <c r="FZ27" s="1">
        <v>711</v>
      </c>
      <c r="GA27" s="48">
        <v>719</v>
      </c>
      <c r="GB27" s="1">
        <v>692</v>
      </c>
      <c r="GC27" s="1">
        <v>677</v>
      </c>
      <c r="GD27" s="1">
        <v>669</v>
      </c>
      <c r="GE27" s="1">
        <v>657</v>
      </c>
      <c r="GF27" s="1">
        <v>631</v>
      </c>
      <c r="GG27" s="1">
        <v>637</v>
      </c>
      <c r="GH27" s="1">
        <v>641</v>
      </c>
      <c r="GI27" s="1">
        <v>656</v>
      </c>
      <c r="GJ27" s="1">
        <v>677</v>
      </c>
      <c r="GK27" s="1">
        <v>711</v>
      </c>
      <c r="GL27" s="1">
        <v>752</v>
      </c>
      <c r="GM27" s="48">
        <v>757</v>
      </c>
      <c r="GN27" s="1">
        <v>726</v>
      </c>
      <c r="GO27" s="1">
        <v>785</v>
      </c>
      <c r="GP27" s="1">
        <v>827</v>
      </c>
      <c r="GQ27" s="1">
        <v>854</v>
      </c>
      <c r="GR27" s="1">
        <v>884</v>
      </c>
      <c r="GS27" s="1">
        <v>906</v>
      </c>
      <c r="GT27" s="1">
        <v>931</v>
      </c>
      <c r="GU27" s="1">
        <v>954</v>
      </c>
      <c r="GV27" s="1">
        <v>1008</v>
      </c>
      <c r="GW27" s="1">
        <v>1055</v>
      </c>
      <c r="GX27" s="6">
        <v>1130</v>
      </c>
      <c r="GY27" s="1">
        <v>1117</v>
      </c>
      <c r="GZ27" s="1">
        <v>1109</v>
      </c>
      <c r="HA27" s="1">
        <v>1092</v>
      </c>
      <c r="HB27" s="1">
        <v>1062</v>
      </c>
      <c r="HC27" s="1">
        <v>1044</v>
      </c>
      <c r="HD27" s="1">
        <v>1018</v>
      </c>
      <c r="HE27" s="1">
        <v>1001</v>
      </c>
      <c r="HF27" s="1">
        <v>974</v>
      </c>
      <c r="HG27" s="1">
        <v>923</v>
      </c>
      <c r="HH27" s="1">
        <v>899</v>
      </c>
      <c r="HI27" s="1">
        <v>915</v>
      </c>
      <c r="HJ27" s="1">
        <v>904</v>
      </c>
      <c r="HK27" s="48">
        <v>848</v>
      </c>
      <c r="HL27" s="1">
        <v>823</v>
      </c>
      <c r="HM27" s="1">
        <v>798</v>
      </c>
      <c r="HN27" s="1">
        <v>756</v>
      </c>
      <c r="HO27" s="1">
        <v>730</v>
      </c>
      <c r="HP27" s="1">
        <v>693</v>
      </c>
      <c r="HQ27" s="1">
        <v>670</v>
      </c>
      <c r="HR27" s="1">
        <v>668</v>
      </c>
      <c r="HS27" s="1">
        <v>668</v>
      </c>
      <c r="HT27" s="1">
        <v>642</v>
      </c>
      <c r="HU27" s="1">
        <v>657</v>
      </c>
      <c r="HV27" s="1">
        <v>694</v>
      </c>
      <c r="HW27" s="48">
        <v>694</v>
      </c>
      <c r="HX27" s="1">
        <v>672</v>
      </c>
      <c r="HY27" s="1">
        <v>641</v>
      </c>
      <c r="HZ27" s="1">
        <v>598</v>
      </c>
      <c r="IA27" s="1">
        <v>566</v>
      </c>
      <c r="IB27" s="1">
        <v>559</v>
      </c>
      <c r="IC27" s="1">
        <v>569</v>
      </c>
      <c r="ID27" s="1">
        <v>579</v>
      </c>
      <c r="IE27" s="1">
        <v>586</v>
      </c>
      <c r="IF27" s="1">
        <v>614</v>
      </c>
      <c r="IG27" s="1">
        <v>663</v>
      </c>
      <c r="IH27" s="1">
        <v>697</v>
      </c>
      <c r="II27" s="48">
        <v>718</v>
      </c>
      <c r="IJ27" s="1">
        <v>728</v>
      </c>
      <c r="IK27" s="1">
        <v>730</v>
      </c>
      <c r="IL27" s="1">
        <v>733</v>
      </c>
      <c r="IM27" s="1">
        <v>738</v>
      </c>
      <c r="IN27" s="1">
        <v>743</v>
      </c>
      <c r="IO27" s="1">
        <v>744</v>
      </c>
      <c r="IP27" s="1">
        <v>744</v>
      </c>
      <c r="IQ27" s="1">
        <v>758</v>
      </c>
      <c r="IR27" s="1">
        <v>771</v>
      </c>
      <c r="IS27" s="1">
        <v>831</v>
      </c>
      <c r="IT27" s="6">
        <v>883</v>
      </c>
      <c r="IU27" s="1">
        <v>941</v>
      </c>
      <c r="IV27" s="1">
        <v>968</v>
      </c>
      <c r="IW27" s="1">
        <v>970</v>
      </c>
      <c r="IX27" s="1">
        <v>943</v>
      </c>
      <c r="IY27" s="1">
        <v>922</v>
      </c>
      <c r="IZ27" s="1">
        <v>956</v>
      </c>
      <c r="JA27" s="1">
        <v>961</v>
      </c>
      <c r="JB27" s="1">
        <v>922</v>
      </c>
      <c r="JC27" s="1">
        <v>909</v>
      </c>
      <c r="JD27" s="1">
        <v>961</v>
      </c>
      <c r="JE27" s="1">
        <v>986</v>
      </c>
      <c r="JF27" s="1">
        <v>1002</v>
      </c>
      <c r="JG27" s="48">
        <v>1030</v>
      </c>
      <c r="JH27" s="1">
        <v>1012</v>
      </c>
      <c r="JI27" s="1">
        <v>996</v>
      </c>
    </row>
    <row r="28" spans="1:269" ht="13.5" x14ac:dyDescent="0.25">
      <c r="A28" s="1" t="s">
        <v>32</v>
      </c>
      <c r="B28" s="1">
        <v>21</v>
      </c>
      <c r="C28" s="9">
        <v>2672</v>
      </c>
      <c r="D28" s="9">
        <v>2681</v>
      </c>
      <c r="E28" s="9">
        <v>2634</v>
      </c>
      <c r="F28" s="9">
        <v>2637</v>
      </c>
      <c r="G28" s="9">
        <v>2528</v>
      </c>
      <c r="H28" s="9">
        <v>2517</v>
      </c>
      <c r="I28" s="9">
        <v>2543</v>
      </c>
      <c r="J28" s="9">
        <v>2620</v>
      </c>
      <c r="K28" s="9">
        <v>2610</v>
      </c>
      <c r="L28" s="9">
        <v>2514</v>
      </c>
      <c r="M28" s="9">
        <v>2592</v>
      </c>
      <c r="N28" s="13">
        <v>2657</v>
      </c>
      <c r="O28" s="9">
        <f>1633+643+409</f>
        <v>2685</v>
      </c>
      <c r="P28" s="9">
        <f>424+657+1635</f>
        <v>2716</v>
      </c>
      <c r="Q28" s="9">
        <f>438+627+1612+1</f>
        <v>2678</v>
      </c>
      <c r="R28" s="9">
        <v>2614</v>
      </c>
      <c r="S28" s="9">
        <v>2640</v>
      </c>
      <c r="T28" s="9">
        <v>2648</v>
      </c>
      <c r="U28" s="9">
        <f>432+629+1531</f>
        <v>2592</v>
      </c>
      <c r="V28" s="9">
        <f>450+639+1567</f>
        <v>2656</v>
      </c>
      <c r="W28" s="9">
        <f>430+631+1602</f>
        <v>2663</v>
      </c>
      <c r="X28" s="9">
        <v>2629</v>
      </c>
      <c r="Y28" s="9">
        <v>2697</v>
      </c>
      <c r="Z28" s="13">
        <f>436+633+1632</f>
        <v>2701</v>
      </c>
      <c r="AA28" s="9">
        <f>436+654+1670</f>
        <v>2760</v>
      </c>
      <c r="AB28" s="9">
        <v>2693</v>
      </c>
      <c r="AC28" s="9">
        <v>2679</v>
      </c>
      <c r="AD28" s="9">
        <f>1568+624+425</f>
        <v>2617</v>
      </c>
      <c r="AE28" s="9">
        <f>395+604+1477</f>
        <v>2476</v>
      </c>
      <c r="AF28" s="9">
        <f>393+595+1424</f>
        <v>2412</v>
      </c>
      <c r="AG28" s="9">
        <f>372+566+1428</f>
        <v>2366</v>
      </c>
      <c r="AH28" s="9">
        <f>394+566+1446</f>
        <v>2406</v>
      </c>
      <c r="AI28" s="9">
        <v>2350</v>
      </c>
      <c r="AJ28" s="9">
        <f>357+534+1380</f>
        <v>2271</v>
      </c>
      <c r="AK28" s="9">
        <f>358+517+1377</f>
        <v>2252</v>
      </c>
      <c r="AL28" s="13">
        <f>373+528+1400</f>
        <v>2301</v>
      </c>
      <c r="AM28" s="9">
        <f>385+530+1413+1</f>
        <v>2329</v>
      </c>
      <c r="AN28" s="9">
        <f>391+530+1412+1</f>
        <v>2334</v>
      </c>
      <c r="AO28" s="9">
        <f>402+527+1366</f>
        <v>2295</v>
      </c>
      <c r="AP28" s="9">
        <f>384+503+1311</f>
        <v>2198</v>
      </c>
      <c r="AQ28" s="9">
        <f>378+507+1287</f>
        <v>2172</v>
      </c>
      <c r="AR28" s="9">
        <f>366+504+1261</f>
        <v>2131</v>
      </c>
      <c r="AS28" s="9">
        <f>376+492+1262</f>
        <v>2130</v>
      </c>
      <c r="AT28" s="9">
        <f>362+500+1256</f>
        <v>2118</v>
      </c>
      <c r="AU28" s="9">
        <f>350+475+1220</f>
        <v>2045</v>
      </c>
      <c r="AV28" s="9">
        <f>333+464+1189+1</f>
        <v>1987</v>
      </c>
      <c r="AW28" s="9">
        <f>339+483+1222</f>
        <v>2044</v>
      </c>
      <c r="AX28" s="13">
        <f>351+490+1263</f>
        <v>2104</v>
      </c>
      <c r="AY28" s="9">
        <f>359+496+1276</f>
        <v>2131</v>
      </c>
      <c r="AZ28" s="9">
        <f>341+490+1231</f>
        <v>2062</v>
      </c>
      <c r="BA28" s="9">
        <f>332+490+1232</f>
        <v>2054</v>
      </c>
      <c r="BB28" s="9">
        <f>327+473+1217+1</f>
        <v>2018</v>
      </c>
      <c r="BC28" s="9">
        <f>316+461+1152+1</f>
        <v>1930</v>
      </c>
      <c r="BD28" s="9">
        <f>297+446+1116+1</f>
        <v>1860</v>
      </c>
      <c r="BE28" s="9">
        <f>310+443+1097+2</f>
        <v>1852</v>
      </c>
      <c r="BF28" s="9">
        <f>299+433+1086</f>
        <v>1818</v>
      </c>
      <c r="BG28" s="9">
        <f>302+431+1089</f>
        <v>1822</v>
      </c>
      <c r="BH28" s="9">
        <f>301+439+1109</f>
        <v>1849</v>
      </c>
      <c r="BI28" s="9">
        <v>1909</v>
      </c>
      <c r="BJ28" s="13">
        <f>337+477+1249</f>
        <v>2063</v>
      </c>
      <c r="BK28" s="9">
        <f>370+498+1345</f>
        <v>2213</v>
      </c>
      <c r="BL28" s="9">
        <f>371+518+1393</f>
        <v>2282</v>
      </c>
      <c r="BM28" s="9">
        <f>408+545+1445</f>
        <v>2398</v>
      </c>
      <c r="BN28" s="9">
        <f>453+560+1464</f>
        <v>2477</v>
      </c>
      <c r="BO28" s="9">
        <f>441+538+1502</f>
        <v>2481</v>
      </c>
      <c r="BP28" s="9">
        <v>2711</v>
      </c>
      <c r="BQ28" s="9">
        <v>2792</v>
      </c>
      <c r="BR28" s="9">
        <v>2842</v>
      </c>
      <c r="BS28" s="9">
        <v>2898</v>
      </c>
      <c r="BT28" s="9">
        <v>2920</v>
      </c>
      <c r="BU28" s="9">
        <v>2922</v>
      </c>
      <c r="BV28" s="13">
        <v>3048</v>
      </c>
      <c r="BW28" s="9">
        <v>3093</v>
      </c>
      <c r="BX28" s="9">
        <v>3129</v>
      </c>
      <c r="BY28" s="9">
        <v>3122</v>
      </c>
      <c r="BZ28" s="9">
        <v>2963</v>
      </c>
      <c r="CA28" s="9">
        <v>2903</v>
      </c>
      <c r="CB28" s="9">
        <v>2875</v>
      </c>
      <c r="CC28" s="9">
        <v>2886</v>
      </c>
      <c r="CD28" s="9">
        <v>2825</v>
      </c>
      <c r="CE28" s="9">
        <v>2734</v>
      </c>
      <c r="CF28" s="9">
        <v>2659</v>
      </c>
      <c r="CG28" s="9">
        <v>2595</v>
      </c>
      <c r="CH28" s="13">
        <v>2639</v>
      </c>
      <c r="CI28" s="9">
        <v>2608</v>
      </c>
      <c r="CJ28" s="9">
        <v>2535</v>
      </c>
      <c r="CK28" s="9">
        <v>2413</v>
      </c>
      <c r="CL28" s="9">
        <v>2186</v>
      </c>
      <c r="CM28" s="9">
        <v>2099</v>
      </c>
      <c r="CN28" s="9">
        <v>2080</v>
      </c>
      <c r="CO28" s="9">
        <v>1984</v>
      </c>
      <c r="CP28" s="9">
        <v>1993</v>
      </c>
      <c r="CQ28" s="9">
        <v>1946</v>
      </c>
      <c r="CR28" s="9">
        <v>1952</v>
      </c>
      <c r="CS28" s="9">
        <v>2074</v>
      </c>
      <c r="CT28" s="13">
        <v>2203</v>
      </c>
      <c r="CU28" s="9">
        <v>2243</v>
      </c>
      <c r="CV28" s="9">
        <v>2229</v>
      </c>
      <c r="CW28" s="9">
        <v>2156</v>
      </c>
      <c r="CX28" s="9">
        <v>2125</v>
      </c>
      <c r="CY28" s="9">
        <v>2124</v>
      </c>
      <c r="CZ28" s="9">
        <v>2154</v>
      </c>
      <c r="DA28" s="9">
        <v>2172</v>
      </c>
      <c r="DB28" s="9">
        <v>2172</v>
      </c>
      <c r="DC28" s="9">
        <v>2207</v>
      </c>
      <c r="DD28" s="9">
        <v>2272</v>
      </c>
      <c r="DE28" s="9">
        <v>2373</v>
      </c>
      <c r="DF28" s="13">
        <v>2517</v>
      </c>
      <c r="DG28" s="9">
        <v>2608</v>
      </c>
      <c r="DH28" s="9">
        <v>2591</v>
      </c>
      <c r="DI28" s="9">
        <v>2494</v>
      </c>
      <c r="DJ28" s="9">
        <v>2439</v>
      </c>
      <c r="DK28" s="9">
        <v>2368</v>
      </c>
      <c r="DL28" s="9">
        <v>2362</v>
      </c>
      <c r="DM28" s="9">
        <v>2365</v>
      </c>
      <c r="DN28" s="9">
        <v>2342</v>
      </c>
      <c r="DO28" s="9">
        <v>2303</v>
      </c>
      <c r="DP28" s="9">
        <v>2307</v>
      </c>
      <c r="DQ28" s="9">
        <v>2402</v>
      </c>
      <c r="DR28" s="13">
        <v>2466</v>
      </c>
      <c r="DS28" s="9">
        <v>2473</v>
      </c>
      <c r="DT28" s="9">
        <v>2429</v>
      </c>
      <c r="DU28" s="9">
        <v>2361</v>
      </c>
      <c r="DV28" s="9">
        <v>2264</v>
      </c>
      <c r="DW28" s="9">
        <v>2185</v>
      </c>
      <c r="DX28" s="9">
        <v>2168</v>
      </c>
      <c r="DY28" s="9">
        <v>2136</v>
      </c>
      <c r="DZ28" s="9">
        <v>2076</v>
      </c>
      <c r="EA28" s="9">
        <v>2100</v>
      </c>
      <c r="EB28" s="9">
        <v>2141</v>
      </c>
      <c r="EC28" s="9">
        <v>2193</v>
      </c>
      <c r="ED28" s="13">
        <v>2299</v>
      </c>
      <c r="EE28" s="9">
        <v>2335</v>
      </c>
      <c r="EF28" s="9">
        <v>2344</v>
      </c>
      <c r="EG28" s="9">
        <v>2397</v>
      </c>
      <c r="EH28" s="9">
        <v>2383</v>
      </c>
      <c r="EI28" s="9">
        <v>2354</v>
      </c>
      <c r="EJ28" s="9">
        <v>2415</v>
      </c>
      <c r="EK28" s="9">
        <v>2480</v>
      </c>
      <c r="EL28" s="9">
        <v>2452</v>
      </c>
      <c r="EM28" s="9">
        <v>2488</v>
      </c>
      <c r="EN28" s="9">
        <v>2522</v>
      </c>
      <c r="EO28" s="9">
        <v>2655</v>
      </c>
      <c r="EP28" s="13">
        <v>2777</v>
      </c>
      <c r="EQ28" s="9">
        <v>2785</v>
      </c>
      <c r="ER28" s="9">
        <v>2826</v>
      </c>
      <c r="ES28" s="9">
        <v>2806</v>
      </c>
      <c r="ET28" s="9">
        <v>2771</v>
      </c>
      <c r="EU28" s="9">
        <v>2702</v>
      </c>
      <c r="EV28" s="9">
        <v>2641</v>
      </c>
      <c r="EW28" s="9">
        <v>2616</v>
      </c>
      <c r="EX28" s="9">
        <v>2689</v>
      </c>
      <c r="EY28" s="9">
        <v>2712</v>
      </c>
      <c r="EZ28" s="9">
        <v>2773</v>
      </c>
      <c r="FA28" s="9">
        <v>2837</v>
      </c>
      <c r="FB28" s="13">
        <v>2909</v>
      </c>
      <c r="FC28" s="9">
        <v>2961</v>
      </c>
      <c r="FD28" s="36">
        <v>2977</v>
      </c>
      <c r="FE28" s="33">
        <v>2916</v>
      </c>
      <c r="FF28" s="33">
        <v>2821</v>
      </c>
      <c r="FG28" s="36">
        <v>2792</v>
      </c>
      <c r="FH28" s="36">
        <v>2783</v>
      </c>
      <c r="FI28" s="36">
        <v>2821</v>
      </c>
      <c r="FJ28" s="36">
        <v>2799</v>
      </c>
      <c r="FK28" s="36">
        <v>2779</v>
      </c>
      <c r="FL28" s="1">
        <v>2751</v>
      </c>
      <c r="FM28" s="1">
        <v>2866</v>
      </c>
      <c r="FN28" s="6">
        <v>2944</v>
      </c>
      <c r="FO28" s="1">
        <v>2932</v>
      </c>
      <c r="FP28" s="1">
        <v>2887</v>
      </c>
      <c r="FQ28" s="1">
        <v>2868</v>
      </c>
      <c r="FR28" s="1">
        <v>2778</v>
      </c>
      <c r="FS28" s="1">
        <v>2678</v>
      </c>
      <c r="FT28" s="1">
        <v>2519</v>
      </c>
      <c r="FU28" s="1">
        <v>2507</v>
      </c>
      <c r="FV28" s="1">
        <v>2494</v>
      </c>
      <c r="FW28" s="1">
        <v>2521</v>
      </c>
      <c r="FX28" s="1">
        <v>2559</v>
      </c>
      <c r="FY28" s="1">
        <v>2652</v>
      </c>
      <c r="FZ28" s="1">
        <v>2676</v>
      </c>
      <c r="GA28" s="48">
        <v>2609</v>
      </c>
      <c r="GB28" s="1">
        <v>2599</v>
      </c>
      <c r="GC28" s="1">
        <v>2586</v>
      </c>
      <c r="GD28" s="1">
        <v>2498</v>
      </c>
      <c r="GE28" s="1">
        <v>2475</v>
      </c>
      <c r="GF28" s="1">
        <v>2403</v>
      </c>
      <c r="GG28" s="1">
        <v>2415</v>
      </c>
      <c r="GH28" s="1">
        <v>2355</v>
      </c>
      <c r="GI28" s="1">
        <v>2370</v>
      </c>
      <c r="GJ28" s="1">
        <v>2401</v>
      </c>
      <c r="GK28" s="1">
        <v>2494</v>
      </c>
      <c r="GL28" s="1">
        <v>2545</v>
      </c>
      <c r="GM28" s="48">
        <v>2523</v>
      </c>
      <c r="GN28" s="1">
        <v>2489</v>
      </c>
      <c r="GO28" s="1">
        <v>2768</v>
      </c>
      <c r="GP28" s="1">
        <v>2958</v>
      </c>
      <c r="GQ28" s="1">
        <v>2984</v>
      </c>
      <c r="GR28" s="1">
        <v>3066</v>
      </c>
      <c r="GS28" s="1">
        <v>3231</v>
      </c>
      <c r="GT28" s="1">
        <v>3196</v>
      </c>
      <c r="GU28" s="1">
        <v>3187</v>
      </c>
      <c r="GV28" s="1">
        <v>3157</v>
      </c>
      <c r="GW28" s="1">
        <v>3258</v>
      </c>
      <c r="GX28" s="6">
        <v>3385</v>
      </c>
      <c r="GY28" s="1">
        <v>3407</v>
      </c>
      <c r="GZ28" s="1">
        <v>3392</v>
      </c>
      <c r="HA28" s="1">
        <v>3386</v>
      </c>
      <c r="HB28" s="1">
        <v>3317</v>
      </c>
      <c r="HC28" s="1">
        <v>3270</v>
      </c>
      <c r="HD28" s="1">
        <v>3180</v>
      </c>
      <c r="HE28" s="1">
        <v>3096</v>
      </c>
      <c r="HF28" s="1">
        <v>3029</v>
      </c>
      <c r="HG28" s="1">
        <v>2979</v>
      </c>
      <c r="HH28" s="1">
        <v>2959</v>
      </c>
      <c r="HI28" s="1">
        <v>3022</v>
      </c>
      <c r="HJ28" s="1">
        <v>3062</v>
      </c>
      <c r="HK28" s="48">
        <v>3014</v>
      </c>
      <c r="HL28" s="1">
        <v>2950</v>
      </c>
      <c r="HM28" s="1">
        <v>2872</v>
      </c>
      <c r="HN28" s="1">
        <v>2747</v>
      </c>
      <c r="HO28" s="1">
        <v>2662</v>
      </c>
      <c r="HP28" s="1">
        <v>2557</v>
      </c>
      <c r="HQ28" s="1">
        <v>2466</v>
      </c>
      <c r="HR28" s="1">
        <v>2392</v>
      </c>
      <c r="HS28" s="1">
        <v>2322</v>
      </c>
      <c r="HT28" s="1">
        <v>2321</v>
      </c>
      <c r="HU28" s="1">
        <v>2350</v>
      </c>
      <c r="HV28" s="1">
        <v>2393</v>
      </c>
      <c r="HW28" s="48">
        <v>2376</v>
      </c>
      <c r="HX28" s="1">
        <v>2389</v>
      </c>
      <c r="HY28" s="1">
        <v>2333</v>
      </c>
      <c r="HZ28" s="1">
        <v>2266</v>
      </c>
      <c r="IA28" s="1">
        <v>2204</v>
      </c>
      <c r="IB28" s="1">
        <v>2145</v>
      </c>
      <c r="IC28" s="1">
        <v>2176</v>
      </c>
      <c r="ID28" s="1">
        <v>2153</v>
      </c>
      <c r="IE28" s="1">
        <v>2091</v>
      </c>
      <c r="IF28" s="1">
        <v>2163</v>
      </c>
      <c r="IG28" s="1">
        <v>2299</v>
      </c>
      <c r="IH28" s="1">
        <v>2339</v>
      </c>
      <c r="II28" s="48">
        <v>2419</v>
      </c>
      <c r="IJ28" s="1">
        <v>2469</v>
      </c>
      <c r="IK28" s="1">
        <v>2443</v>
      </c>
      <c r="IL28" s="1">
        <v>2474</v>
      </c>
      <c r="IM28" s="1">
        <v>2470</v>
      </c>
      <c r="IN28" s="1">
        <v>2481</v>
      </c>
      <c r="IO28" s="1">
        <v>2579</v>
      </c>
      <c r="IP28" s="1">
        <v>2493</v>
      </c>
      <c r="IQ28" s="1">
        <v>2585</v>
      </c>
      <c r="IR28" s="1">
        <v>2724</v>
      </c>
      <c r="IS28" s="1">
        <v>2878</v>
      </c>
      <c r="IT28" s="6">
        <v>2993</v>
      </c>
      <c r="IU28" s="1">
        <v>3095</v>
      </c>
      <c r="IV28" s="1">
        <v>3131</v>
      </c>
      <c r="IW28" s="1">
        <v>3137</v>
      </c>
      <c r="IX28" s="1">
        <v>3088</v>
      </c>
      <c r="IY28" s="1">
        <v>3033</v>
      </c>
      <c r="IZ28" s="1">
        <v>3123</v>
      </c>
      <c r="JA28" s="1">
        <v>3164</v>
      </c>
      <c r="JB28" s="1">
        <v>3156</v>
      </c>
      <c r="JC28" s="1">
        <v>3176</v>
      </c>
      <c r="JD28" s="1">
        <v>3230</v>
      </c>
      <c r="JE28" s="1">
        <v>3279</v>
      </c>
      <c r="JF28" s="1">
        <v>3311</v>
      </c>
      <c r="JG28" s="48">
        <v>3366</v>
      </c>
      <c r="JH28" s="1">
        <v>3354</v>
      </c>
      <c r="JI28" s="1">
        <v>3346</v>
      </c>
    </row>
    <row r="29" spans="1:269" ht="13.5" x14ac:dyDescent="0.25">
      <c r="A29" s="1" t="s">
        <v>33</v>
      </c>
      <c r="B29" s="1">
        <v>22</v>
      </c>
      <c r="C29" s="9">
        <v>352</v>
      </c>
      <c r="D29" s="9">
        <v>345</v>
      </c>
      <c r="E29" s="9">
        <v>341</v>
      </c>
      <c r="F29" s="9">
        <v>313</v>
      </c>
      <c r="G29" s="9">
        <v>295</v>
      </c>
      <c r="H29" s="9">
        <v>283</v>
      </c>
      <c r="I29" s="9">
        <v>286</v>
      </c>
      <c r="J29" s="9">
        <v>294</v>
      </c>
      <c r="K29" s="9">
        <v>291</v>
      </c>
      <c r="L29" s="9">
        <v>283</v>
      </c>
      <c r="M29" s="9">
        <v>301</v>
      </c>
      <c r="N29" s="13">
        <v>305</v>
      </c>
      <c r="O29" s="9">
        <f>295</f>
        <v>295</v>
      </c>
      <c r="P29" s="9">
        <v>295</v>
      </c>
      <c r="Q29" s="9">
        <v>293</v>
      </c>
      <c r="R29" s="9">
        <v>291</v>
      </c>
      <c r="S29" s="9">
        <v>276</v>
      </c>
      <c r="T29" s="9">
        <v>273</v>
      </c>
      <c r="U29" s="9">
        <v>290</v>
      </c>
      <c r="V29" s="9">
        <v>300</v>
      </c>
      <c r="W29" s="9">
        <v>287</v>
      </c>
      <c r="X29" s="9">
        <v>290</v>
      </c>
      <c r="Y29" s="9">
        <v>302</v>
      </c>
      <c r="Z29" s="13">
        <v>297</v>
      </c>
      <c r="AA29" s="9">
        <v>326</v>
      </c>
      <c r="AB29" s="9">
        <v>326</v>
      </c>
      <c r="AC29" s="9">
        <v>322</v>
      </c>
      <c r="AD29" s="9">
        <v>313</v>
      </c>
      <c r="AE29" s="9">
        <v>305</v>
      </c>
      <c r="AF29" s="9">
        <v>291</v>
      </c>
      <c r="AG29" s="9">
        <v>285</v>
      </c>
      <c r="AH29" s="9">
        <f>265</f>
        <v>265</v>
      </c>
      <c r="AI29" s="9">
        <v>258</v>
      </c>
      <c r="AJ29" s="9">
        <f>260</f>
        <v>260</v>
      </c>
      <c r="AK29" s="9">
        <f>265</f>
        <v>265</v>
      </c>
      <c r="AL29" s="13">
        <v>269</v>
      </c>
      <c r="AM29" s="9">
        <f>275</f>
        <v>275</v>
      </c>
      <c r="AN29" s="9">
        <f>275</f>
        <v>275</v>
      </c>
      <c r="AO29" s="9">
        <v>262</v>
      </c>
      <c r="AP29" s="9">
        <f>252</f>
        <v>252</v>
      </c>
      <c r="AQ29" s="9">
        <v>248</v>
      </c>
      <c r="AR29" s="9">
        <v>253</v>
      </c>
      <c r="AS29" s="9">
        <v>248</v>
      </c>
      <c r="AT29" s="9">
        <f>231</f>
        <v>231</v>
      </c>
      <c r="AU29" s="9">
        <f>213</f>
        <v>213</v>
      </c>
      <c r="AV29" s="9">
        <v>206</v>
      </c>
      <c r="AW29" s="9">
        <v>209</v>
      </c>
      <c r="AX29" s="13">
        <v>216</v>
      </c>
      <c r="AY29" s="9">
        <v>229</v>
      </c>
      <c r="AZ29" s="9">
        <v>227</v>
      </c>
      <c r="BA29" s="9">
        <v>225</v>
      </c>
      <c r="BB29" s="9">
        <f>228</f>
        <v>228</v>
      </c>
      <c r="BC29" s="9">
        <f>220</f>
        <v>220</v>
      </c>
      <c r="BD29" s="9">
        <v>214</v>
      </c>
      <c r="BE29" s="9">
        <v>213</v>
      </c>
      <c r="BF29" s="9">
        <v>206</v>
      </c>
      <c r="BG29" s="9">
        <v>198</v>
      </c>
      <c r="BH29" s="9">
        <v>194</v>
      </c>
      <c r="BI29" s="9">
        <v>200</v>
      </c>
      <c r="BJ29" s="13">
        <v>227</v>
      </c>
      <c r="BK29" s="9">
        <v>249</v>
      </c>
      <c r="BL29" s="9">
        <v>285</v>
      </c>
      <c r="BM29" s="9">
        <v>322</v>
      </c>
      <c r="BN29" s="9">
        <v>330</v>
      </c>
      <c r="BO29" s="9">
        <v>361</v>
      </c>
      <c r="BP29" s="9">
        <v>375</v>
      </c>
      <c r="BQ29" s="9">
        <v>380</v>
      </c>
      <c r="BR29" s="9">
        <v>383</v>
      </c>
      <c r="BS29" s="9">
        <v>377</v>
      </c>
      <c r="BT29" s="9">
        <v>384</v>
      </c>
      <c r="BU29" s="9">
        <v>400</v>
      </c>
      <c r="BV29" s="13">
        <v>421</v>
      </c>
      <c r="BW29" s="9">
        <v>429</v>
      </c>
      <c r="BX29" s="9">
        <v>424</v>
      </c>
      <c r="BY29" s="9">
        <v>421</v>
      </c>
      <c r="BZ29" s="9">
        <v>400</v>
      </c>
      <c r="CA29" s="9">
        <v>387</v>
      </c>
      <c r="CB29" s="9">
        <v>361</v>
      </c>
      <c r="CC29" s="9">
        <v>333</v>
      </c>
      <c r="CD29" s="9">
        <v>324</v>
      </c>
      <c r="CE29" s="9">
        <v>309</v>
      </c>
      <c r="CF29" s="9">
        <v>306</v>
      </c>
      <c r="CG29" s="9">
        <v>292</v>
      </c>
      <c r="CH29" s="13">
        <v>302</v>
      </c>
      <c r="CI29" s="9">
        <v>300</v>
      </c>
      <c r="CJ29" s="9">
        <v>283</v>
      </c>
      <c r="CK29" s="9">
        <v>275</v>
      </c>
      <c r="CL29" s="9">
        <v>252</v>
      </c>
      <c r="CM29" s="9">
        <v>230</v>
      </c>
      <c r="CN29" s="9">
        <v>219</v>
      </c>
      <c r="CO29" s="9">
        <v>210</v>
      </c>
      <c r="CP29" s="9">
        <v>213</v>
      </c>
      <c r="CQ29" s="9">
        <v>215</v>
      </c>
      <c r="CR29" s="9">
        <v>223</v>
      </c>
      <c r="CS29" s="9">
        <v>244</v>
      </c>
      <c r="CT29" s="13">
        <v>268</v>
      </c>
      <c r="CU29" s="9">
        <v>282</v>
      </c>
      <c r="CV29" s="9">
        <v>287</v>
      </c>
      <c r="CW29" s="9">
        <v>283</v>
      </c>
      <c r="CX29" s="9">
        <v>259</v>
      </c>
      <c r="CY29" s="9">
        <v>256</v>
      </c>
      <c r="CZ29" s="9">
        <v>241</v>
      </c>
      <c r="DA29" s="9">
        <v>239</v>
      </c>
      <c r="DB29" s="9">
        <v>256</v>
      </c>
      <c r="DC29" s="9">
        <v>267</v>
      </c>
      <c r="DD29" s="9">
        <v>282</v>
      </c>
      <c r="DE29" s="9">
        <v>284</v>
      </c>
      <c r="DF29" s="13">
        <v>300</v>
      </c>
      <c r="DG29" s="9">
        <v>312</v>
      </c>
      <c r="DH29" s="9">
        <v>302</v>
      </c>
      <c r="DI29" s="9">
        <v>286</v>
      </c>
      <c r="DJ29" s="9">
        <v>285</v>
      </c>
      <c r="DK29" s="9">
        <v>278</v>
      </c>
      <c r="DL29" s="9">
        <v>276</v>
      </c>
      <c r="DM29" s="9">
        <v>295</v>
      </c>
      <c r="DN29" s="9">
        <v>282</v>
      </c>
      <c r="DO29" s="9">
        <v>276</v>
      </c>
      <c r="DP29" s="9">
        <v>276</v>
      </c>
      <c r="DQ29" s="9">
        <v>281</v>
      </c>
      <c r="DR29" s="13">
        <v>299</v>
      </c>
      <c r="DS29" s="9">
        <v>302</v>
      </c>
      <c r="DT29" s="9">
        <v>296</v>
      </c>
      <c r="DU29" s="9">
        <v>284</v>
      </c>
      <c r="DV29" s="9">
        <v>272</v>
      </c>
      <c r="DW29" s="9">
        <v>269</v>
      </c>
      <c r="DX29" s="9">
        <v>274</v>
      </c>
      <c r="DY29" s="9">
        <v>264</v>
      </c>
      <c r="DZ29" s="9">
        <v>258</v>
      </c>
      <c r="EA29" s="9">
        <v>253</v>
      </c>
      <c r="EB29" s="9">
        <v>261</v>
      </c>
      <c r="EC29" s="9">
        <v>268</v>
      </c>
      <c r="ED29" s="13">
        <v>267</v>
      </c>
      <c r="EE29" s="9">
        <v>253</v>
      </c>
      <c r="EF29" s="9">
        <v>251</v>
      </c>
      <c r="EG29" s="9">
        <v>267</v>
      </c>
      <c r="EH29" s="9">
        <v>271</v>
      </c>
      <c r="EI29" s="9">
        <v>256</v>
      </c>
      <c r="EJ29" s="9">
        <v>267</v>
      </c>
      <c r="EK29" s="9">
        <v>268</v>
      </c>
      <c r="EL29" s="9">
        <v>268</v>
      </c>
      <c r="EM29" s="9">
        <v>268</v>
      </c>
      <c r="EN29" s="9">
        <v>276</v>
      </c>
      <c r="EO29" s="9">
        <v>288</v>
      </c>
      <c r="EP29" s="13">
        <v>314</v>
      </c>
      <c r="EQ29" s="9">
        <v>326</v>
      </c>
      <c r="ER29" s="9">
        <v>329</v>
      </c>
      <c r="ES29" s="9">
        <v>319</v>
      </c>
      <c r="ET29" s="9">
        <v>323</v>
      </c>
      <c r="EU29" s="9">
        <v>327</v>
      </c>
      <c r="EV29" s="9">
        <v>324</v>
      </c>
      <c r="EW29" s="9">
        <v>324</v>
      </c>
      <c r="EX29" s="9">
        <v>341</v>
      </c>
      <c r="EY29" s="9">
        <v>353</v>
      </c>
      <c r="EZ29" s="9">
        <v>359</v>
      </c>
      <c r="FA29" s="9">
        <v>379</v>
      </c>
      <c r="FB29" s="13">
        <v>369</v>
      </c>
      <c r="FC29" s="9">
        <v>368</v>
      </c>
      <c r="FD29" s="36">
        <v>374</v>
      </c>
      <c r="FE29" s="33">
        <v>377</v>
      </c>
      <c r="FF29" s="33">
        <v>350</v>
      </c>
      <c r="FG29" s="36">
        <v>340</v>
      </c>
      <c r="FH29" s="36">
        <v>322</v>
      </c>
      <c r="FI29" s="36">
        <v>330</v>
      </c>
      <c r="FJ29" s="36">
        <v>322</v>
      </c>
      <c r="FK29" s="36">
        <v>327</v>
      </c>
      <c r="FL29" s="1">
        <v>324</v>
      </c>
      <c r="FM29" s="1">
        <v>323</v>
      </c>
      <c r="FN29" s="6">
        <v>326</v>
      </c>
      <c r="FO29" s="1">
        <v>333</v>
      </c>
      <c r="FP29" s="1">
        <v>324</v>
      </c>
      <c r="FQ29" s="1">
        <v>312</v>
      </c>
      <c r="FR29" s="1">
        <v>289</v>
      </c>
      <c r="FS29" s="1">
        <v>268</v>
      </c>
      <c r="FT29" s="1">
        <v>262</v>
      </c>
      <c r="FU29" s="1">
        <v>270</v>
      </c>
      <c r="FV29" s="1">
        <v>259</v>
      </c>
      <c r="FW29" s="1">
        <v>252</v>
      </c>
      <c r="FX29" s="1">
        <v>254</v>
      </c>
      <c r="FY29" s="1">
        <v>253</v>
      </c>
      <c r="FZ29" s="1">
        <v>265</v>
      </c>
      <c r="GA29" s="48">
        <v>289</v>
      </c>
      <c r="GB29" s="1">
        <v>274</v>
      </c>
      <c r="GC29" s="1">
        <v>282</v>
      </c>
      <c r="GD29" s="1">
        <v>273</v>
      </c>
      <c r="GE29" s="1">
        <v>255</v>
      </c>
      <c r="GF29" s="1">
        <v>250</v>
      </c>
      <c r="GG29" s="1">
        <v>246</v>
      </c>
      <c r="GH29" s="1">
        <v>240</v>
      </c>
      <c r="GI29" s="1">
        <v>253</v>
      </c>
      <c r="GJ29" s="1">
        <v>267</v>
      </c>
      <c r="GK29" s="1">
        <v>265</v>
      </c>
      <c r="GL29" s="1">
        <v>283</v>
      </c>
      <c r="GM29" s="48">
        <v>296</v>
      </c>
      <c r="GN29" s="1">
        <v>280</v>
      </c>
      <c r="GO29" s="1">
        <v>293</v>
      </c>
      <c r="GP29" s="1">
        <v>321</v>
      </c>
      <c r="GQ29" s="1">
        <v>322</v>
      </c>
      <c r="GR29" s="1">
        <v>334</v>
      </c>
      <c r="GS29" s="1">
        <v>365</v>
      </c>
      <c r="GT29" s="1">
        <v>377</v>
      </c>
      <c r="GU29" s="1">
        <v>374</v>
      </c>
      <c r="GV29" s="1">
        <v>371</v>
      </c>
      <c r="GW29" s="1">
        <v>387</v>
      </c>
      <c r="GX29" s="6">
        <v>405</v>
      </c>
      <c r="GY29" s="1">
        <v>414</v>
      </c>
      <c r="GZ29" s="1">
        <v>410</v>
      </c>
      <c r="HA29" s="1">
        <v>416</v>
      </c>
      <c r="HB29" s="1">
        <v>409</v>
      </c>
      <c r="HC29" s="1">
        <v>399</v>
      </c>
      <c r="HD29" s="1">
        <v>406</v>
      </c>
      <c r="HE29" s="1">
        <v>399</v>
      </c>
      <c r="HF29" s="1">
        <v>374</v>
      </c>
      <c r="HG29" s="1">
        <v>357</v>
      </c>
      <c r="HH29" s="1">
        <v>355</v>
      </c>
      <c r="HI29" s="1">
        <v>357</v>
      </c>
      <c r="HJ29" s="1">
        <v>363</v>
      </c>
      <c r="HK29" s="48">
        <v>353</v>
      </c>
      <c r="HL29" s="1">
        <v>353</v>
      </c>
      <c r="HM29" s="1">
        <v>331</v>
      </c>
      <c r="HN29" s="1">
        <v>318</v>
      </c>
      <c r="HO29" s="1">
        <v>311</v>
      </c>
      <c r="HP29" s="1">
        <v>300</v>
      </c>
      <c r="HQ29" s="1">
        <v>279</v>
      </c>
      <c r="HR29" s="1">
        <v>277</v>
      </c>
      <c r="HS29" s="1">
        <v>246</v>
      </c>
      <c r="HT29" s="1">
        <v>250</v>
      </c>
      <c r="HU29" s="1">
        <v>263</v>
      </c>
      <c r="HV29" s="1">
        <v>264</v>
      </c>
      <c r="HW29" s="48">
        <v>267</v>
      </c>
      <c r="HX29" s="1">
        <v>252</v>
      </c>
      <c r="HY29" s="1">
        <v>228</v>
      </c>
      <c r="HZ29" s="1">
        <v>219</v>
      </c>
      <c r="IA29" s="1">
        <v>220</v>
      </c>
      <c r="IB29" s="1">
        <v>232</v>
      </c>
      <c r="IC29" s="1">
        <v>223</v>
      </c>
      <c r="ID29" s="1">
        <v>223</v>
      </c>
      <c r="IE29" s="1">
        <v>230</v>
      </c>
      <c r="IF29" s="1">
        <v>241</v>
      </c>
      <c r="IG29" s="1">
        <v>264</v>
      </c>
      <c r="IH29" s="1">
        <v>264</v>
      </c>
      <c r="II29" s="48">
        <v>286</v>
      </c>
      <c r="IJ29" s="1">
        <v>280</v>
      </c>
      <c r="IK29" s="1">
        <v>291</v>
      </c>
      <c r="IL29" s="1">
        <v>282</v>
      </c>
      <c r="IM29" s="1">
        <v>282</v>
      </c>
      <c r="IN29" s="1">
        <v>287</v>
      </c>
      <c r="IO29" s="1">
        <v>291</v>
      </c>
      <c r="IP29" s="1">
        <v>291</v>
      </c>
      <c r="IQ29" s="1">
        <v>308</v>
      </c>
      <c r="IR29" s="1">
        <v>302</v>
      </c>
      <c r="IS29" s="1">
        <v>331</v>
      </c>
      <c r="IT29" s="6">
        <v>352</v>
      </c>
      <c r="IU29" s="1">
        <v>370</v>
      </c>
      <c r="IV29" s="1">
        <v>360</v>
      </c>
      <c r="IW29" s="1">
        <v>361</v>
      </c>
      <c r="IX29" s="1">
        <v>357</v>
      </c>
      <c r="IY29" s="1">
        <v>343</v>
      </c>
      <c r="IZ29" s="1">
        <v>345</v>
      </c>
      <c r="JA29" s="1">
        <v>339</v>
      </c>
      <c r="JB29" s="1">
        <v>345</v>
      </c>
      <c r="JC29" s="1">
        <v>361</v>
      </c>
      <c r="JD29" s="1">
        <v>377</v>
      </c>
      <c r="JE29" s="1">
        <v>384</v>
      </c>
      <c r="JF29" s="1">
        <v>378</v>
      </c>
      <c r="JG29" s="48">
        <v>383</v>
      </c>
      <c r="JH29" s="1">
        <v>387</v>
      </c>
      <c r="JI29" s="1">
        <v>380</v>
      </c>
    </row>
    <row r="30" spans="1:269" ht="13.5" x14ac:dyDescent="0.25">
      <c r="A30" s="1" t="s">
        <v>34</v>
      </c>
      <c r="B30" s="1">
        <v>23</v>
      </c>
      <c r="C30" s="9">
        <v>549</v>
      </c>
      <c r="D30" s="9">
        <v>571</v>
      </c>
      <c r="E30" s="9">
        <v>568</v>
      </c>
      <c r="F30" s="9">
        <v>564</v>
      </c>
      <c r="G30" s="9">
        <v>573</v>
      </c>
      <c r="H30" s="9">
        <v>558</v>
      </c>
      <c r="I30" s="9">
        <v>565</v>
      </c>
      <c r="J30" s="9">
        <v>589</v>
      </c>
      <c r="K30" s="9">
        <v>584</v>
      </c>
      <c r="L30" s="9">
        <v>596</v>
      </c>
      <c r="M30" s="9">
        <v>615</v>
      </c>
      <c r="N30" s="13">
        <v>644</v>
      </c>
      <c r="O30" s="9">
        <f>355+288</f>
        <v>643</v>
      </c>
      <c r="P30" s="9">
        <f>294+338</f>
        <v>632</v>
      </c>
      <c r="Q30" s="9">
        <f>335+305</f>
        <v>640</v>
      </c>
      <c r="R30" s="9">
        <f>294+323</f>
        <v>617</v>
      </c>
      <c r="S30" s="9">
        <v>602</v>
      </c>
      <c r="T30" s="9">
        <v>609</v>
      </c>
      <c r="U30" s="9">
        <f>316+299</f>
        <v>615</v>
      </c>
      <c r="V30" s="9">
        <f>329+311</f>
        <v>640</v>
      </c>
      <c r="W30" s="9">
        <f>312+325</f>
        <v>637</v>
      </c>
      <c r="X30" s="9">
        <f>295+325</f>
        <v>620</v>
      </c>
      <c r="Y30" s="9">
        <f>328+286</f>
        <v>614</v>
      </c>
      <c r="Z30" s="13">
        <f>347+292</f>
        <v>639</v>
      </c>
      <c r="AA30" s="9">
        <f>353+297</f>
        <v>650</v>
      </c>
      <c r="AB30" s="9">
        <v>654</v>
      </c>
      <c r="AC30" s="9">
        <v>655</v>
      </c>
      <c r="AD30" s="9">
        <f>333+275</f>
        <v>608</v>
      </c>
      <c r="AE30" s="9">
        <f>309+275</f>
        <v>584</v>
      </c>
      <c r="AF30" s="9">
        <f>309+257</f>
        <v>566</v>
      </c>
      <c r="AG30" s="9">
        <f>298+254</f>
        <v>552</v>
      </c>
      <c r="AH30" s="9">
        <f>285+239</f>
        <v>524</v>
      </c>
      <c r="AI30" s="9">
        <v>486</v>
      </c>
      <c r="AJ30" s="9">
        <f>270+207</f>
        <v>477</v>
      </c>
      <c r="AK30" s="9">
        <f>255+211</f>
        <v>466</v>
      </c>
      <c r="AL30" s="13">
        <f>262+207</f>
        <v>469</v>
      </c>
      <c r="AM30" s="9">
        <f>263+216</f>
        <v>479</v>
      </c>
      <c r="AN30" s="9">
        <f>275+224</f>
        <v>499</v>
      </c>
      <c r="AO30" s="9">
        <f>264+216</f>
        <v>480</v>
      </c>
      <c r="AP30" s="9">
        <f>260+210</f>
        <v>470</v>
      </c>
      <c r="AQ30" s="9">
        <f>258+202</f>
        <v>460</v>
      </c>
      <c r="AR30" s="9">
        <f>265+190</f>
        <v>455</v>
      </c>
      <c r="AS30" s="9">
        <f>269+190</f>
        <v>459</v>
      </c>
      <c r="AT30" s="9">
        <f>260+191</f>
        <v>451</v>
      </c>
      <c r="AU30" s="9">
        <f>247+184</f>
        <v>431</v>
      </c>
      <c r="AV30" s="9">
        <f>244+188</f>
        <v>432</v>
      </c>
      <c r="AW30" s="9">
        <f>251+205</f>
        <v>456</v>
      </c>
      <c r="AX30" s="13">
        <f>261+232</f>
        <v>493</v>
      </c>
      <c r="AY30" s="9">
        <f>248+221</f>
        <v>469</v>
      </c>
      <c r="AZ30" s="9">
        <f>228+212</f>
        <v>440</v>
      </c>
      <c r="BA30" s="9">
        <f>214+209</f>
        <v>423</v>
      </c>
      <c r="BB30" s="9">
        <f>211+209</f>
        <v>420</v>
      </c>
      <c r="BC30" s="9">
        <f>210+195</f>
        <v>405</v>
      </c>
      <c r="BD30" s="9">
        <f>217+179</f>
        <v>396</v>
      </c>
      <c r="BE30" s="9">
        <f>215+184</f>
        <v>399</v>
      </c>
      <c r="BF30" s="9">
        <f>200+182</f>
        <v>382</v>
      </c>
      <c r="BG30" s="9">
        <f>210+190</f>
        <v>400</v>
      </c>
      <c r="BH30" s="9">
        <f>212+196</f>
        <v>408</v>
      </c>
      <c r="BI30" s="9">
        <v>417</v>
      </c>
      <c r="BJ30" s="13">
        <f>230+208</f>
        <v>438</v>
      </c>
      <c r="BK30" s="9">
        <f>241+220</f>
        <v>461</v>
      </c>
      <c r="BL30" s="9">
        <f>250+225</f>
        <v>475</v>
      </c>
      <c r="BM30" s="9">
        <f>256+245</f>
        <v>501</v>
      </c>
      <c r="BN30" s="9">
        <f>265+256</f>
        <v>521</v>
      </c>
      <c r="BO30" s="9">
        <f>269+269</f>
        <v>538</v>
      </c>
      <c r="BP30" s="9">
        <v>560</v>
      </c>
      <c r="BQ30" s="9">
        <v>563</v>
      </c>
      <c r="BR30" s="9">
        <v>572</v>
      </c>
      <c r="BS30" s="9">
        <v>607</v>
      </c>
      <c r="BT30" s="9">
        <v>605</v>
      </c>
      <c r="BU30" s="9">
        <v>605</v>
      </c>
      <c r="BV30" s="13">
        <v>600</v>
      </c>
      <c r="BW30" s="9">
        <v>581</v>
      </c>
      <c r="BX30" s="9">
        <v>577</v>
      </c>
      <c r="BY30" s="9">
        <v>569</v>
      </c>
      <c r="BZ30" s="9">
        <v>573</v>
      </c>
      <c r="CA30" s="9">
        <v>568</v>
      </c>
      <c r="CB30" s="9">
        <v>563</v>
      </c>
      <c r="CC30" s="9">
        <v>573</v>
      </c>
      <c r="CD30" s="9">
        <v>576</v>
      </c>
      <c r="CE30" s="9">
        <v>583</v>
      </c>
      <c r="CF30" s="9">
        <v>568</v>
      </c>
      <c r="CG30" s="9">
        <v>578</v>
      </c>
      <c r="CH30" s="13">
        <v>586</v>
      </c>
      <c r="CI30" s="9">
        <v>573</v>
      </c>
      <c r="CJ30" s="9">
        <v>566</v>
      </c>
      <c r="CK30" s="9">
        <v>556</v>
      </c>
      <c r="CL30" s="9">
        <v>515</v>
      </c>
      <c r="CM30" s="9">
        <v>505</v>
      </c>
      <c r="CN30" s="9">
        <v>495</v>
      </c>
      <c r="CO30" s="9">
        <v>488</v>
      </c>
      <c r="CP30" s="9">
        <v>455</v>
      </c>
      <c r="CQ30" s="9">
        <v>462</v>
      </c>
      <c r="CR30" s="9">
        <v>462</v>
      </c>
      <c r="CS30" s="9">
        <v>477</v>
      </c>
      <c r="CT30" s="13">
        <v>507</v>
      </c>
      <c r="CU30" s="9">
        <v>511</v>
      </c>
      <c r="CV30" s="9">
        <v>507</v>
      </c>
      <c r="CW30" s="9">
        <v>496</v>
      </c>
      <c r="CX30" s="9">
        <v>504</v>
      </c>
      <c r="CY30" s="9">
        <v>493</v>
      </c>
      <c r="CZ30" s="9">
        <v>480</v>
      </c>
      <c r="DA30" s="9">
        <v>496</v>
      </c>
      <c r="DB30" s="9">
        <v>508</v>
      </c>
      <c r="DC30" s="9">
        <v>504</v>
      </c>
      <c r="DD30" s="9">
        <v>514</v>
      </c>
      <c r="DE30" s="9">
        <v>556</v>
      </c>
      <c r="DF30" s="13">
        <v>588</v>
      </c>
      <c r="DG30" s="9">
        <v>604</v>
      </c>
      <c r="DH30" s="9">
        <v>588</v>
      </c>
      <c r="DI30" s="9">
        <v>565</v>
      </c>
      <c r="DJ30" s="9">
        <v>537</v>
      </c>
      <c r="DK30" s="9">
        <v>510</v>
      </c>
      <c r="DL30" s="9">
        <v>484</v>
      </c>
      <c r="DM30" s="9">
        <v>495</v>
      </c>
      <c r="DN30" s="9">
        <v>474</v>
      </c>
      <c r="DO30" s="9">
        <v>483</v>
      </c>
      <c r="DP30" s="9">
        <v>501</v>
      </c>
      <c r="DQ30" s="9">
        <v>493</v>
      </c>
      <c r="DR30" s="13">
        <v>496</v>
      </c>
      <c r="DS30" s="9">
        <v>508</v>
      </c>
      <c r="DT30" s="9">
        <v>518</v>
      </c>
      <c r="DU30" s="9">
        <v>539</v>
      </c>
      <c r="DV30" s="9">
        <v>525</v>
      </c>
      <c r="DW30" s="9">
        <v>515</v>
      </c>
      <c r="DX30" s="9">
        <v>523</v>
      </c>
      <c r="DY30" s="9">
        <v>542</v>
      </c>
      <c r="DZ30" s="9">
        <v>516</v>
      </c>
      <c r="EA30" s="9">
        <v>522</v>
      </c>
      <c r="EB30" s="9">
        <v>510</v>
      </c>
      <c r="EC30" s="9">
        <v>512</v>
      </c>
      <c r="ED30" s="13">
        <v>541</v>
      </c>
      <c r="EE30" s="9">
        <v>557</v>
      </c>
      <c r="EF30" s="9">
        <v>558</v>
      </c>
      <c r="EG30" s="9">
        <v>561</v>
      </c>
      <c r="EH30" s="9">
        <v>578</v>
      </c>
      <c r="EI30" s="9">
        <v>564</v>
      </c>
      <c r="EJ30" s="9">
        <v>569</v>
      </c>
      <c r="EK30" s="9">
        <v>576</v>
      </c>
      <c r="EL30" s="9">
        <v>604</v>
      </c>
      <c r="EM30" s="9">
        <v>602</v>
      </c>
      <c r="EN30" s="9">
        <v>629</v>
      </c>
      <c r="EO30" s="9">
        <v>679</v>
      </c>
      <c r="EP30" s="13">
        <v>703</v>
      </c>
      <c r="EQ30" s="9">
        <v>686</v>
      </c>
      <c r="ER30" s="9">
        <v>702</v>
      </c>
      <c r="ES30" s="9">
        <v>696</v>
      </c>
      <c r="ET30" s="9">
        <v>677</v>
      </c>
      <c r="EU30" s="9">
        <v>680</v>
      </c>
      <c r="EV30" s="9">
        <v>683</v>
      </c>
      <c r="EW30" s="9">
        <v>691</v>
      </c>
      <c r="EX30" s="9">
        <v>687</v>
      </c>
      <c r="EY30" s="9">
        <v>665</v>
      </c>
      <c r="EZ30" s="9">
        <v>664</v>
      </c>
      <c r="FA30" s="9">
        <v>688</v>
      </c>
      <c r="FB30" s="13">
        <v>726</v>
      </c>
      <c r="FC30" s="9">
        <v>709</v>
      </c>
      <c r="FD30" s="36">
        <v>719</v>
      </c>
      <c r="FE30" s="33">
        <v>696</v>
      </c>
      <c r="FF30" s="33">
        <v>684</v>
      </c>
      <c r="FG30" s="36">
        <v>683</v>
      </c>
      <c r="FH30" s="36">
        <v>654</v>
      </c>
      <c r="FI30" s="36">
        <v>670</v>
      </c>
      <c r="FJ30" s="36">
        <v>639</v>
      </c>
      <c r="FK30" s="36">
        <v>632</v>
      </c>
      <c r="FL30" s="1">
        <v>619</v>
      </c>
      <c r="FM30" s="1">
        <v>631</v>
      </c>
      <c r="FN30" s="6">
        <v>645</v>
      </c>
      <c r="FO30" s="1">
        <v>668</v>
      </c>
      <c r="FP30" s="1">
        <v>667</v>
      </c>
      <c r="FQ30" s="1">
        <v>648</v>
      </c>
      <c r="FR30" s="1">
        <v>646</v>
      </c>
      <c r="FS30" s="1">
        <v>616</v>
      </c>
      <c r="FT30" s="1">
        <v>607</v>
      </c>
      <c r="FU30" s="1">
        <v>616</v>
      </c>
      <c r="FV30" s="1">
        <v>614</v>
      </c>
      <c r="FW30" s="1">
        <v>594</v>
      </c>
      <c r="FX30" s="1">
        <v>584</v>
      </c>
      <c r="FY30" s="1">
        <v>582</v>
      </c>
      <c r="FZ30" s="1">
        <v>583</v>
      </c>
      <c r="GA30" s="48">
        <v>592</v>
      </c>
      <c r="GB30" s="1">
        <v>600</v>
      </c>
      <c r="GC30" s="1">
        <v>553</v>
      </c>
      <c r="GD30" s="1">
        <v>533</v>
      </c>
      <c r="GE30" s="1">
        <v>515</v>
      </c>
      <c r="GF30" s="1">
        <v>518</v>
      </c>
      <c r="GG30" s="1">
        <v>527</v>
      </c>
      <c r="GH30" s="1">
        <v>500</v>
      </c>
      <c r="GI30" s="1">
        <v>507</v>
      </c>
      <c r="GJ30" s="1">
        <v>514</v>
      </c>
      <c r="GK30" s="1">
        <v>547</v>
      </c>
      <c r="GL30" s="1">
        <v>591</v>
      </c>
      <c r="GM30" s="48">
        <v>598</v>
      </c>
      <c r="GN30" s="1">
        <v>567</v>
      </c>
      <c r="GO30" s="1">
        <v>621</v>
      </c>
      <c r="GP30" s="1">
        <v>682</v>
      </c>
      <c r="GQ30" s="1">
        <v>722</v>
      </c>
      <c r="GR30" s="1">
        <v>715</v>
      </c>
      <c r="GS30" s="1">
        <v>724</v>
      </c>
      <c r="GT30" s="1">
        <v>722</v>
      </c>
      <c r="GU30" s="1">
        <v>719</v>
      </c>
      <c r="GV30" s="1">
        <v>742</v>
      </c>
      <c r="GW30" s="1">
        <v>771</v>
      </c>
      <c r="GX30" s="6">
        <v>801</v>
      </c>
      <c r="GY30" s="1">
        <v>811</v>
      </c>
      <c r="GZ30" s="1">
        <v>800</v>
      </c>
      <c r="HA30" s="1">
        <v>786</v>
      </c>
      <c r="HB30" s="1">
        <v>764</v>
      </c>
      <c r="HC30" s="1">
        <v>751</v>
      </c>
      <c r="HD30" s="1">
        <v>735</v>
      </c>
      <c r="HE30" s="1">
        <v>720</v>
      </c>
      <c r="HF30" s="1">
        <v>686</v>
      </c>
      <c r="HG30" s="1">
        <v>659</v>
      </c>
      <c r="HH30" s="1">
        <v>633</v>
      </c>
      <c r="HI30" s="1">
        <v>649</v>
      </c>
      <c r="HJ30" s="1">
        <v>670</v>
      </c>
      <c r="HK30" s="48">
        <v>656</v>
      </c>
      <c r="HL30" s="1">
        <v>650</v>
      </c>
      <c r="HM30" s="1">
        <v>638</v>
      </c>
      <c r="HN30" s="1">
        <v>587</v>
      </c>
      <c r="HO30" s="1">
        <v>570</v>
      </c>
      <c r="HP30" s="1">
        <v>547</v>
      </c>
      <c r="HQ30" s="1">
        <v>548</v>
      </c>
      <c r="HR30" s="1">
        <v>523</v>
      </c>
      <c r="HS30" s="1">
        <v>496</v>
      </c>
      <c r="HT30" s="1">
        <v>485</v>
      </c>
      <c r="HU30" s="1">
        <v>475</v>
      </c>
      <c r="HV30" s="1">
        <v>480</v>
      </c>
      <c r="HW30" s="48">
        <v>471</v>
      </c>
      <c r="HX30" s="1">
        <v>473</v>
      </c>
      <c r="HY30" s="1">
        <v>466</v>
      </c>
      <c r="HZ30" s="1">
        <v>445</v>
      </c>
      <c r="IA30" s="1">
        <v>436</v>
      </c>
      <c r="IB30" s="1">
        <v>429</v>
      </c>
      <c r="IC30" s="1">
        <v>461</v>
      </c>
      <c r="ID30" s="1">
        <v>448</v>
      </c>
      <c r="IE30" s="1">
        <v>452</v>
      </c>
      <c r="IF30" s="1">
        <v>471</v>
      </c>
      <c r="IG30" s="1">
        <v>521</v>
      </c>
      <c r="IH30" s="1">
        <v>536</v>
      </c>
      <c r="II30" s="48">
        <v>535</v>
      </c>
      <c r="IJ30" s="1">
        <v>547</v>
      </c>
      <c r="IK30" s="1">
        <v>521</v>
      </c>
      <c r="IL30" s="1">
        <v>530</v>
      </c>
      <c r="IM30" s="1">
        <v>540</v>
      </c>
      <c r="IN30" s="1">
        <v>539</v>
      </c>
      <c r="IO30" s="1">
        <v>532</v>
      </c>
      <c r="IP30" s="1">
        <v>541</v>
      </c>
      <c r="IQ30" s="1">
        <v>548</v>
      </c>
      <c r="IR30" s="1">
        <v>544</v>
      </c>
      <c r="IS30" s="1">
        <v>545</v>
      </c>
      <c r="IT30" s="6">
        <v>580</v>
      </c>
      <c r="IU30" s="1">
        <v>576</v>
      </c>
      <c r="IV30" s="1">
        <v>562</v>
      </c>
      <c r="IW30" s="1">
        <v>571</v>
      </c>
      <c r="IX30" s="1">
        <v>585</v>
      </c>
      <c r="IY30" s="1">
        <v>583</v>
      </c>
      <c r="IZ30" s="1">
        <v>598</v>
      </c>
      <c r="JA30" s="1">
        <v>606</v>
      </c>
      <c r="JB30" s="1">
        <v>619</v>
      </c>
      <c r="JC30" s="1">
        <v>618</v>
      </c>
      <c r="JD30" s="1">
        <v>638</v>
      </c>
      <c r="JE30" s="1">
        <v>623</v>
      </c>
      <c r="JF30" s="1">
        <v>639</v>
      </c>
      <c r="JG30" s="48">
        <v>646</v>
      </c>
      <c r="JH30" s="1">
        <v>623</v>
      </c>
      <c r="JI30" s="1">
        <v>612</v>
      </c>
    </row>
    <row r="31" spans="1:269" ht="13.5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3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3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3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13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13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13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13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13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13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13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13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13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13"/>
      <c r="FC31" s="9"/>
      <c r="FD31" s="36"/>
      <c r="FE31" s="33"/>
      <c r="FF31" s="33"/>
      <c r="FG31" s="36"/>
      <c r="FH31" s="36"/>
      <c r="FI31" s="36"/>
      <c r="FJ31" s="36"/>
      <c r="FK31" s="36"/>
      <c r="FN31" s="6"/>
      <c r="GA31" s="48"/>
      <c r="GM31" s="48"/>
      <c r="GX31" s="6"/>
      <c r="HK31" s="48"/>
      <c r="HW31" s="48"/>
      <c r="II31" s="48"/>
      <c r="IT31" s="6"/>
      <c r="JG31" s="48"/>
    </row>
    <row r="32" spans="1:269" ht="14.25" x14ac:dyDescent="0.25">
      <c r="A32" s="4" t="s">
        <v>43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3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3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3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13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13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13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13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13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13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13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13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13"/>
      <c r="EQ32" s="9"/>
      <c r="ER32" s="9"/>
      <c r="ES32" s="9"/>
      <c r="ET32" s="9"/>
      <c r="EW32" s="9"/>
      <c r="EX32" s="9"/>
      <c r="EY32" s="9"/>
      <c r="EZ32" s="9"/>
      <c r="FA32" s="9"/>
      <c r="FC32" s="9"/>
      <c r="FD32" s="36"/>
      <c r="FE32" s="33"/>
      <c r="FF32" s="36"/>
      <c r="FG32" s="36"/>
      <c r="FH32" s="36"/>
      <c r="FI32" s="36"/>
      <c r="FJ32" s="36"/>
      <c r="FK32" s="36"/>
      <c r="FN32" s="6"/>
      <c r="GA32" s="48"/>
      <c r="GM32" s="48"/>
      <c r="GX32" s="6"/>
      <c r="HJ32" s="6"/>
      <c r="HW32" s="48"/>
      <c r="II32" s="48"/>
      <c r="IT32" s="6"/>
      <c r="JG32" s="48"/>
    </row>
    <row r="33" spans="1:269" ht="13.5" x14ac:dyDescent="0.25">
      <c r="A33" s="1" t="s">
        <v>6</v>
      </c>
      <c r="B33" s="1">
        <v>24</v>
      </c>
      <c r="C33" s="9">
        <v>959</v>
      </c>
      <c r="D33" s="9">
        <v>727</v>
      </c>
      <c r="E33" s="9">
        <v>748</v>
      </c>
      <c r="F33" s="9">
        <v>641</v>
      </c>
      <c r="G33" s="9">
        <v>652</v>
      </c>
      <c r="H33" s="9">
        <v>674</v>
      </c>
      <c r="I33" s="9">
        <v>801</v>
      </c>
      <c r="J33" s="9">
        <v>917</v>
      </c>
      <c r="K33" s="9">
        <v>757</v>
      </c>
      <c r="L33" s="9">
        <v>726</v>
      </c>
      <c r="M33" s="9">
        <v>913</v>
      </c>
      <c r="N33" s="13">
        <v>779</v>
      </c>
      <c r="O33" s="9">
        <v>820</v>
      </c>
      <c r="P33" s="9">
        <v>729</v>
      </c>
      <c r="Q33" s="9">
        <v>711</v>
      </c>
      <c r="R33" s="9">
        <v>746</v>
      </c>
      <c r="S33" s="9">
        <v>617</v>
      </c>
      <c r="T33" s="9">
        <v>732</v>
      </c>
      <c r="U33" s="9">
        <v>762</v>
      </c>
      <c r="V33" s="9">
        <v>905</v>
      </c>
      <c r="W33" s="9">
        <v>808</v>
      </c>
      <c r="X33" s="9">
        <v>688</v>
      </c>
      <c r="Y33" s="9">
        <v>852</v>
      </c>
      <c r="Z33" s="13">
        <v>675</v>
      </c>
      <c r="AA33" s="9">
        <v>800</v>
      </c>
      <c r="AB33" s="9">
        <v>664</v>
      </c>
      <c r="AC33" s="9">
        <v>761</v>
      </c>
      <c r="AD33" s="9">
        <v>550</v>
      </c>
      <c r="AE33" s="9">
        <v>654</v>
      </c>
      <c r="AF33" s="9">
        <v>543</v>
      </c>
      <c r="AG33" s="9">
        <v>741</v>
      </c>
      <c r="AH33" s="9">
        <v>746</v>
      </c>
      <c r="AI33" s="9">
        <v>752</v>
      </c>
      <c r="AJ33" s="9">
        <v>670</v>
      </c>
      <c r="AK33" s="9">
        <v>676</v>
      </c>
      <c r="AL33" s="13">
        <v>578</v>
      </c>
      <c r="AM33" s="9">
        <v>776</v>
      </c>
      <c r="AN33" s="9">
        <v>631</v>
      </c>
      <c r="AO33" s="9">
        <v>622</v>
      </c>
      <c r="AP33" s="9">
        <v>538</v>
      </c>
      <c r="AQ33" s="9">
        <v>787</v>
      </c>
      <c r="AR33" s="9">
        <v>583</v>
      </c>
      <c r="AS33" s="9">
        <v>679</v>
      </c>
      <c r="AT33" s="9">
        <v>785</v>
      </c>
      <c r="AU33" s="9">
        <v>545</v>
      </c>
      <c r="AV33" s="9">
        <v>654</v>
      </c>
      <c r="AW33" s="9">
        <v>700</v>
      </c>
      <c r="AX33" s="13">
        <v>564</v>
      </c>
      <c r="AY33" s="9">
        <v>730</v>
      </c>
      <c r="AZ33" s="9">
        <v>605</v>
      </c>
      <c r="BA33" s="9">
        <v>547</v>
      </c>
      <c r="BB33" s="9">
        <v>668</v>
      </c>
      <c r="BC33" s="9">
        <v>451</v>
      </c>
      <c r="BD33" s="9">
        <v>510</v>
      </c>
      <c r="BE33" s="9">
        <v>664</v>
      </c>
      <c r="BF33" s="9">
        <v>670</v>
      </c>
      <c r="BG33" s="9">
        <v>689</v>
      </c>
      <c r="BH33" s="9">
        <v>711</v>
      </c>
      <c r="BI33" s="9">
        <v>849</v>
      </c>
      <c r="BJ33" s="13">
        <v>934</v>
      </c>
      <c r="BK33" s="9">
        <v>996</v>
      </c>
      <c r="BL33" s="9">
        <v>824</v>
      </c>
      <c r="BM33" s="9">
        <v>1002</v>
      </c>
      <c r="BN33" s="9">
        <v>807</v>
      </c>
      <c r="BO33" s="9">
        <v>893</v>
      </c>
      <c r="BP33" s="9">
        <v>856</v>
      </c>
      <c r="BQ33" s="9">
        <v>987</v>
      </c>
      <c r="BR33" s="9">
        <v>941</v>
      </c>
      <c r="BS33" s="9">
        <v>898</v>
      </c>
      <c r="BT33" s="9">
        <v>883</v>
      </c>
      <c r="BU33" s="9">
        <v>941</v>
      </c>
      <c r="BV33" s="13">
        <v>909</v>
      </c>
      <c r="BW33" s="9">
        <v>839</v>
      </c>
      <c r="BX33" s="9">
        <v>743</v>
      </c>
      <c r="BY33" s="9">
        <v>778</v>
      </c>
      <c r="BZ33" s="9">
        <v>646</v>
      </c>
      <c r="CA33" s="9">
        <v>571</v>
      </c>
      <c r="CB33" s="9">
        <v>581</v>
      </c>
      <c r="CC33" s="9">
        <v>793</v>
      </c>
      <c r="CD33" s="9">
        <v>788</v>
      </c>
      <c r="CE33" s="9">
        <v>693</v>
      </c>
      <c r="CF33" s="9">
        <v>723</v>
      </c>
      <c r="CG33" s="9">
        <v>732</v>
      </c>
      <c r="CH33" s="13">
        <v>725</v>
      </c>
      <c r="CI33" s="9">
        <v>795</v>
      </c>
      <c r="CJ33" s="9">
        <v>612</v>
      </c>
      <c r="CK33" s="9">
        <v>676</v>
      </c>
      <c r="CL33" s="9">
        <v>580</v>
      </c>
      <c r="CM33" s="9">
        <v>668</v>
      </c>
      <c r="CN33" s="9">
        <v>602</v>
      </c>
      <c r="CO33" s="9">
        <v>698</v>
      </c>
      <c r="CP33" s="9">
        <v>839</v>
      </c>
      <c r="CQ33" s="9">
        <v>759</v>
      </c>
      <c r="CR33" s="9">
        <v>756</v>
      </c>
      <c r="CS33" s="9">
        <v>945</v>
      </c>
      <c r="CT33" s="13">
        <v>757</v>
      </c>
      <c r="CU33" s="9">
        <v>872</v>
      </c>
      <c r="CV33" s="9">
        <v>675</v>
      </c>
      <c r="CW33" s="9">
        <v>658</v>
      </c>
      <c r="CX33" s="9">
        <v>643</v>
      </c>
      <c r="CY33" s="9">
        <v>629</v>
      </c>
      <c r="CZ33" s="9">
        <v>808</v>
      </c>
      <c r="DA33" s="9">
        <v>966</v>
      </c>
      <c r="DB33" s="9">
        <v>832</v>
      </c>
      <c r="DC33" s="9">
        <v>766</v>
      </c>
      <c r="DD33" s="9">
        <v>865</v>
      </c>
      <c r="DE33" s="9">
        <v>939</v>
      </c>
      <c r="DF33" s="13">
        <v>795</v>
      </c>
      <c r="DG33" s="9">
        <v>930</v>
      </c>
      <c r="DH33" s="9">
        <v>696</v>
      </c>
      <c r="DI33" s="9">
        <v>689</v>
      </c>
      <c r="DJ33" s="9">
        <v>706</v>
      </c>
      <c r="DK33" s="9">
        <v>677</v>
      </c>
      <c r="DL33" s="9">
        <v>699</v>
      </c>
      <c r="DM33" s="9">
        <v>874</v>
      </c>
      <c r="DN33" s="9">
        <v>750</v>
      </c>
      <c r="DO33" s="9">
        <v>707</v>
      </c>
      <c r="DP33" s="9">
        <v>850</v>
      </c>
      <c r="DQ33" s="9">
        <v>911</v>
      </c>
      <c r="DR33" s="13">
        <v>765</v>
      </c>
      <c r="DS33" s="9">
        <v>791</v>
      </c>
      <c r="DT33" s="9">
        <v>708</v>
      </c>
      <c r="DU33" s="9">
        <v>771</v>
      </c>
      <c r="DV33" s="9">
        <v>666</v>
      </c>
      <c r="DW33" s="9">
        <v>627</v>
      </c>
      <c r="DX33" s="9">
        <v>662</v>
      </c>
      <c r="DY33" s="9">
        <v>812</v>
      </c>
      <c r="DZ33" s="9">
        <v>713</v>
      </c>
      <c r="EA33" s="9">
        <v>720</v>
      </c>
      <c r="EB33" s="9">
        <v>761</v>
      </c>
      <c r="EC33" s="9">
        <v>828</v>
      </c>
      <c r="ED33" s="13">
        <v>836</v>
      </c>
      <c r="EE33" s="9">
        <v>794</v>
      </c>
      <c r="EF33" s="9">
        <v>716</v>
      </c>
      <c r="EG33" s="9">
        <v>879</v>
      </c>
      <c r="EH33" s="9">
        <v>808</v>
      </c>
      <c r="EI33" s="9">
        <v>664</v>
      </c>
      <c r="EJ33" s="9">
        <v>826</v>
      </c>
      <c r="EK33" s="9">
        <v>894</v>
      </c>
      <c r="EL33" s="9">
        <v>886</v>
      </c>
      <c r="EM33" s="9">
        <v>895</v>
      </c>
      <c r="EN33" s="9">
        <v>947</v>
      </c>
      <c r="EO33" s="9">
        <v>1084</v>
      </c>
      <c r="EP33" s="13">
        <v>878</v>
      </c>
      <c r="EQ33" s="9">
        <v>851</v>
      </c>
      <c r="ER33" s="9">
        <v>835</v>
      </c>
      <c r="ES33" s="9">
        <v>831</v>
      </c>
      <c r="ET33" s="9">
        <v>791</v>
      </c>
      <c r="EU33" s="9">
        <v>781</v>
      </c>
      <c r="EV33" s="9">
        <v>819</v>
      </c>
      <c r="EW33" s="9">
        <v>833</v>
      </c>
      <c r="EX33" s="9">
        <v>961</v>
      </c>
      <c r="EY33" s="9">
        <v>829</v>
      </c>
      <c r="EZ33" s="9">
        <v>882</v>
      </c>
      <c r="FA33" s="9">
        <v>1000</v>
      </c>
      <c r="FB33" s="13">
        <v>835</v>
      </c>
      <c r="FC33" s="9">
        <v>956</v>
      </c>
      <c r="FD33" s="36">
        <v>751</v>
      </c>
      <c r="FE33" s="33">
        <v>1081</v>
      </c>
      <c r="FF33" s="33">
        <v>653</v>
      </c>
      <c r="FG33" s="36">
        <v>897</v>
      </c>
      <c r="FH33" s="36">
        <v>730</v>
      </c>
      <c r="FI33" s="36">
        <v>914</v>
      </c>
      <c r="FJ33" s="36">
        <v>925</v>
      </c>
      <c r="FK33" s="36">
        <v>850</v>
      </c>
      <c r="FL33" s="1">
        <v>805</v>
      </c>
      <c r="FM33" s="1">
        <v>954</v>
      </c>
      <c r="FN33" s="6">
        <v>759</v>
      </c>
      <c r="FO33" s="1">
        <v>916</v>
      </c>
      <c r="FP33" s="1">
        <v>766</v>
      </c>
      <c r="FQ33" s="1">
        <v>757</v>
      </c>
      <c r="FR33" s="1">
        <v>664</v>
      </c>
      <c r="FS33" s="1">
        <v>655</v>
      </c>
      <c r="FT33" s="1">
        <v>680</v>
      </c>
      <c r="FU33" s="1">
        <v>840</v>
      </c>
      <c r="FV33" s="1">
        <v>856</v>
      </c>
      <c r="FW33" s="1">
        <v>808</v>
      </c>
      <c r="FX33" s="1">
        <v>894</v>
      </c>
      <c r="FY33" s="1">
        <v>953</v>
      </c>
      <c r="FZ33" s="1">
        <v>731</v>
      </c>
      <c r="GA33" s="48">
        <v>866</v>
      </c>
      <c r="GB33" s="1">
        <v>756</v>
      </c>
      <c r="GC33" s="1">
        <v>893</v>
      </c>
      <c r="GD33" s="1">
        <v>721</v>
      </c>
      <c r="GE33" s="1">
        <v>877</v>
      </c>
      <c r="GF33" s="1">
        <v>627</v>
      </c>
      <c r="GG33" s="1">
        <v>837</v>
      </c>
      <c r="GH33" s="1">
        <v>814</v>
      </c>
      <c r="GI33" s="1">
        <v>853</v>
      </c>
      <c r="GJ33" s="1">
        <v>917</v>
      </c>
      <c r="GK33" s="1">
        <v>975</v>
      </c>
      <c r="GL33" s="1">
        <v>802</v>
      </c>
      <c r="GM33" s="48" t="s">
        <v>74</v>
      </c>
      <c r="GN33" s="1">
        <v>644</v>
      </c>
      <c r="GO33" s="1">
        <v>1350</v>
      </c>
      <c r="GP33" s="1">
        <v>1133</v>
      </c>
      <c r="GQ33" s="1">
        <v>1074</v>
      </c>
      <c r="GR33" s="1">
        <v>927</v>
      </c>
      <c r="GS33" s="1">
        <v>1038</v>
      </c>
      <c r="GT33" s="1">
        <v>946</v>
      </c>
      <c r="GU33" s="1">
        <v>894</v>
      </c>
      <c r="GV33" s="1">
        <v>960</v>
      </c>
      <c r="GW33" s="1">
        <v>1072</v>
      </c>
      <c r="GX33" s="6">
        <v>891</v>
      </c>
      <c r="GY33" s="1">
        <v>899</v>
      </c>
      <c r="GZ33" s="1">
        <v>727</v>
      </c>
      <c r="HA33" s="1">
        <v>822</v>
      </c>
      <c r="HB33" s="1">
        <v>663</v>
      </c>
      <c r="HC33" s="1">
        <v>664</v>
      </c>
      <c r="HD33" s="1">
        <v>665</v>
      </c>
      <c r="HE33" s="1">
        <v>650</v>
      </c>
      <c r="HF33" s="1">
        <v>804</v>
      </c>
      <c r="HG33" s="1">
        <v>794</v>
      </c>
      <c r="HH33" s="1">
        <v>785</v>
      </c>
      <c r="HI33" s="1">
        <v>957</v>
      </c>
      <c r="HJ33" s="1">
        <v>761</v>
      </c>
      <c r="HK33" s="48">
        <v>824</v>
      </c>
      <c r="HL33" s="1">
        <v>740</v>
      </c>
      <c r="HM33" s="1">
        <v>777</v>
      </c>
      <c r="HN33" s="1">
        <v>587</v>
      </c>
      <c r="HO33" s="1">
        <v>676</v>
      </c>
      <c r="HP33" s="1">
        <v>644</v>
      </c>
      <c r="HQ33" s="1">
        <v>687</v>
      </c>
      <c r="HR33" s="1">
        <v>720</v>
      </c>
      <c r="HS33" s="1">
        <v>727</v>
      </c>
      <c r="HT33" s="1">
        <v>805</v>
      </c>
      <c r="HU33" s="1">
        <v>866</v>
      </c>
      <c r="HV33" s="1">
        <v>751</v>
      </c>
      <c r="HW33" s="48">
        <v>899</v>
      </c>
      <c r="HX33" s="1">
        <v>767</v>
      </c>
      <c r="HY33" s="1">
        <v>769</v>
      </c>
      <c r="HZ33" s="1">
        <v>654</v>
      </c>
      <c r="IA33" s="1">
        <v>694</v>
      </c>
      <c r="IB33" s="1">
        <v>769</v>
      </c>
      <c r="IC33" s="1">
        <v>785</v>
      </c>
      <c r="ID33" s="1">
        <v>789</v>
      </c>
      <c r="IE33" s="1">
        <v>752</v>
      </c>
      <c r="IF33" s="1">
        <v>730</v>
      </c>
      <c r="IG33" s="1">
        <v>1048</v>
      </c>
      <c r="IH33" s="1">
        <v>708</v>
      </c>
      <c r="II33" s="48">
        <v>1002</v>
      </c>
      <c r="IJ33" s="1">
        <v>861</v>
      </c>
      <c r="IK33" s="1">
        <v>803</v>
      </c>
      <c r="IL33" s="1">
        <v>853</v>
      </c>
      <c r="IM33" s="1">
        <v>803</v>
      </c>
      <c r="IN33" s="1">
        <v>850</v>
      </c>
      <c r="IO33" s="1">
        <v>948</v>
      </c>
      <c r="IP33" s="1">
        <v>819</v>
      </c>
      <c r="IQ33" s="1">
        <v>976</v>
      </c>
      <c r="IR33" s="1">
        <v>1062</v>
      </c>
      <c r="IS33" s="1">
        <v>1140</v>
      </c>
      <c r="IT33" s="6">
        <v>912</v>
      </c>
      <c r="IU33" s="1">
        <v>1136</v>
      </c>
      <c r="IV33" s="1">
        <v>862</v>
      </c>
      <c r="IW33" s="1">
        <v>963</v>
      </c>
      <c r="IX33" s="1">
        <v>834</v>
      </c>
      <c r="IY33" s="1">
        <v>963</v>
      </c>
      <c r="IZ33" s="1">
        <v>975</v>
      </c>
      <c r="JA33" s="1">
        <v>1001</v>
      </c>
      <c r="JB33" s="1">
        <v>941</v>
      </c>
      <c r="JC33" s="1">
        <v>957</v>
      </c>
      <c r="JD33" s="1">
        <v>1175</v>
      </c>
      <c r="JE33" s="1">
        <v>1066</v>
      </c>
      <c r="JF33" s="1">
        <v>810</v>
      </c>
      <c r="JG33" s="48">
        <v>1175</v>
      </c>
      <c r="JH33" s="1">
        <v>1008</v>
      </c>
      <c r="JI33" s="1">
        <v>972</v>
      </c>
    </row>
    <row r="34" spans="1:269" ht="13.5" x14ac:dyDescent="0.25">
      <c r="A34" s="1" t="s">
        <v>7</v>
      </c>
      <c r="B34" s="1">
        <v>25</v>
      </c>
      <c r="C34" s="9">
        <v>895</v>
      </c>
      <c r="D34" s="9">
        <v>717</v>
      </c>
      <c r="E34" s="9">
        <v>910</v>
      </c>
      <c r="F34" s="9">
        <v>794</v>
      </c>
      <c r="G34" s="9">
        <v>886</v>
      </c>
      <c r="H34" s="9">
        <v>810</v>
      </c>
      <c r="I34" s="9">
        <v>772</v>
      </c>
      <c r="J34" s="9">
        <v>734</v>
      </c>
      <c r="K34" s="9">
        <v>851</v>
      </c>
      <c r="L34" s="9">
        <v>913</v>
      </c>
      <c r="M34" s="9">
        <v>728</v>
      </c>
      <c r="N34" s="13">
        <v>603</v>
      </c>
      <c r="O34" s="9">
        <v>788</v>
      </c>
      <c r="P34" s="9">
        <v>646</v>
      </c>
      <c r="Q34" s="9">
        <v>867</v>
      </c>
      <c r="R34" s="9">
        <v>916</v>
      </c>
      <c r="S34" s="9">
        <v>640</v>
      </c>
      <c r="T34" s="9">
        <v>814</v>
      </c>
      <c r="U34" s="9">
        <v>774</v>
      </c>
      <c r="V34" s="9">
        <v>856</v>
      </c>
      <c r="W34" s="9">
        <v>856</v>
      </c>
      <c r="X34" s="9">
        <v>686</v>
      </c>
      <c r="Y34" s="9">
        <v>796</v>
      </c>
      <c r="Z34" s="13">
        <v>646</v>
      </c>
      <c r="AA34" s="9">
        <v>760</v>
      </c>
      <c r="AB34" s="9">
        <v>773</v>
      </c>
      <c r="AC34" s="9">
        <v>835</v>
      </c>
      <c r="AD34" s="9">
        <v>773</v>
      </c>
      <c r="AE34" s="9">
        <v>915</v>
      </c>
      <c r="AF34" s="9">
        <v>698</v>
      </c>
      <c r="AG34" s="9">
        <v>786</v>
      </c>
      <c r="AH34" s="9">
        <v>802</v>
      </c>
      <c r="AI34" s="9">
        <v>839</v>
      </c>
      <c r="AJ34" s="9">
        <v>797</v>
      </c>
      <c r="AK34" s="9">
        <v>725</v>
      </c>
      <c r="AL34" s="13">
        <v>490</v>
      </c>
      <c r="AM34" s="9">
        <v>777</v>
      </c>
      <c r="AN34" s="9">
        <v>660</v>
      </c>
      <c r="AO34" s="9">
        <v>772</v>
      </c>
      <c r="AP34" s="9">
        <v>718</v>
      </c>
      <c r="AQ34" s="9">
        <v>839</v>
      </c>
      <c r="AR34" s="9">
        <v>725</v>
      </c>
      <c r="AS34" s="9">
        <v>673</v>
      </c>
      <c r="AT34" s="9">
        <v>800</v>
      </c>
      <c r="AU34" s="9">
        <v>715</v>
      </c>
      <c r="AV34" s="9">
        <v>733</v>
      </c>
      <c r="AW34" s="9">
        <v>635</v>
      </c>
      <c r="AX34" s="13">
        <v>439</v>
      </c>
      <c r="AY34" s="9">
        <v>657</v>
      </c>
      <c r="AZ34" s="9">
        <v>824</v>
      </c>
      <c r="BA34" s="9">
        <v>640</v>
      </c>
      <c r="BB34" s="9">
        <v>704</v>
      </c>
      <c r="BC34" s="9">
        <v>715</v>
      </c>
      <c r="BD34" s="9">
        <v>691</v>
      </c>
      <c r="BE34" s="9">
        <v>641</v>
      </c>
      <c r="BF34" s="9">
        <v>697</v>
      </c>
      <c r="BG34" s="9">
        <v>623</v>
      </c>
      <c r="BH34" s="9">
        <v>640</v>
      </c>
      <c r="BI34" s="9">
        <v>617</v>
      </c>
      <c r="BJ34" s="13">
        <v>482</v>
      </c>
      <c r="BK34" s="9">
        <v>589</v>
      </c>
      <c r="BL34" s="9">
        <v>569</v>
      </c>
      <c r="BM34" s="9">
        <v>673</v>
      </c>
      <c r="BN34" s="9">
        <v>604</v>
      </c>
      <c r="BO34" s="9">
        <v>766</v>
      </c>
      <c r="BP34" s="9">
        <v>388</v>
      </c>
      <c r="BQ34" s="9">
        <v>755</v>
      </c>
      <c r="BR34" s="9">
        <v>814</v>
      </c>
      <c r="BS34" s="9">
        <v>785</v>
      </c>
      <c r="BT34" s="9">
        <v>796</v>
      </c>
      <c r="BU34" s="9">
        <v>755</v>
      </c>
      <c r="BV34" s="13">
        <v>555</v>
      </c>
      <c r="BW34" s="9">
        <v>859</v>
      </c>
      <c r="BX34" s="9">
        <v>810</v>
      </c>
      <c r="BY34" s="9">
        <v>846</v>
      </c>
      <c r="BZ34" s="9">
        <v>999</v>
      </c>
      <c r="CA34" s="9">
        <v>824</v>
      </c>
      <c r="CB34" s="9">
        <v>813</v>
      </c>
      <c r="CC34" s="9">
        <v>884</v>
      </c>
      <c r="CD34" s="9">
        <v>886</v>
      </c>
      <c r="CE34" s="9">
        <v>929</v>
      </c>
      <c r="CF34" s="9">
        <v>819</v>
      </c>
      <c r="CG34" s="9">
        <v>842</v>
      </c>
      <c r="CH34" s="13">
        <v>620</v>
      </c>
      <c r="CI34" s="9">
        <v>899</v>
      </c>
      <c r="CJ34" s="9">
        <v>852</v>
      </c>
      <c r="CK34" s="9">
        <v>896</v>
      </c>
      <c r="CL34" s="9">
        <v>1113</v>
      </c>
      <c r="CM34" s="9">
        <v>1033</v>
      </c>
      <c r="CN34" s="9">
        <v>692</v>
      </c>
      <c r="CO34" s="9">
        <v>886</v>
      </c>
      <c r="CP34" s="9">
        <v>724</v>
      </c>
      <c r="CQ34" s="9">
        <v>776</v>
      </c>
      <c r="CR34" s="9">
        <v>721</v>
      </c>
      <c r="CS34" s="9">
        <v>668</v>
      </c>
      <c r="CT34" s="13">
        <v>520</v>
      </c>
      <c r="CU34" s="9">
        <v>798</v>
      </c>
      <c r="CV34" s="9">
        <v>674</v>
      </c>
      <c r="CW34" s="9">
        <v>859</v>
      </c>
      <c r="CX34" s="9">
        <v>710</v>
      </c>
      <c r="CY34" s="9">
        <v>729</v>
      </c>
      <c r="CZ34" s="9">
        <v>874</v>
      </c>
      <c r="DA34" s="9">
        <v>884</v>
      </c>
      <c r="DB34" s="9">
        <v>722</v>
      </c>
      <c r="DC34" s="9">
        <v>765</v>
      </c>
      <c r="DD34" s="9">
        <v>695</v>
      </c>
      <c r="DE34" s="9">
        <v>604</v>
      </c>
      <c r="DF34" s="13">
        <v>483</v>
      </c>
      <c r="DG34" s="9">
        <v>721</v>
      </c>
      <c r="DH34" s="9">
        <v>741</v>
      </c>
      <c r="DI34" s="9">
        <v>874</v>
      </c>
      <c r="DJ34" s="9">
        <v>848</v>
      </c>
      <c r="DK34" s="9">
        <v>862</v>
      </c>
      <c r="DL34" s="9">
        <v>814</v>
      </c>
      <c r="DM34" s="9">
        <v>849</v>
      </c>
      <c r="DN34" s="9">
        <v>830</v>
      </c>
      <c r="DO34" s="9">
        <v>749</v>
      </c>
      <c r="DP34" s="9">
        <v>695</v>
      </c>
      <c r="DQ34" s="9">
        <v>741</v>
      </c>
      <c r="DR34" s="13">
        <v>638</v>
      </c>
      <c r="DS34" s="9">
        <v>836</v>
      </c>
      <c r="DT34" s="9">
        <v>804</v>
      </c>
      <c r="DU34" s="9">
        <v>906</v>
      </c>
      <c r="DV34" s="9">
        <v>813</v>
      </c>
      <c r="DW34" s="9">
        <v>801</v>
      </c>
      <c r="DX34" s="9">
        <v>737</v>
      </c>
      <c r="DY34" s="9">
        <v>848</v>
      </c>
      <c r="DZ34" s="9">
        <v>879</v>
      </c>
      <c r="EA34" s="9">
        <v>778</v>
      </c>
      <c r="EB34" s="9">
        <v>779</v>
      </c>
      <c r="EC34" s="9">
        <v>678</v>
      </c>
      <c r="ED34" s="13">
        <v>554</v>
      </c>
      <c r="EE34" s="9">
        <v>800</v>
      </c>
      <c r="EF34" s="9">
        <v>674</v>
      </c>
      <c r="EG34" s="9">
        <v>777</v>
      </c>
      <c r="EH34" s="9">
        <v>789</v>
      </c>
      <c r="EI34" s="9">
        <v>780</v>
      </c>
      <c r="EJ34" s="9">
        <v>746</v>
      </c>
      <c r="EK34" s="9">
        <v>728</v>
      </c>
      <c r="EL34" s="9">
        <v>855</v>
      </c>
      <c r="EM34" s="9">
        <v>832</v>
      </c>
      <c r="EN34" s="9">
        <v>803</v>
      </c>
      <c r="EO34" s="9">
        <v>693</v>
      </c>
      <c r="EP34" s="13">
        <v>584</v>
      </c>
      <c r="EQ34" s="9">
        <v>870</v>
      </c>
      <c r="ER34" s="9">
        <v>794</v>
      </c>
      <c r="ES34" s="9">
        <v>928</v>
      </c>
      <c r="ET34" s="9">
        <v>913</v>
      </c>
      <c r="EU34" s="9">
        <v>846</v>
      </c>
      <c r="EV34" s="9">
        <v>888</v>
      </c>
      <c r="EW34" s="9">
        <v>884</v>
      </c>
      <c r="EX34" s="9">
        <v>837</v>
      </c>
      <c r="EY34" s="9">
        <v>762</v>
      </c>
      <c r="EZ34" s="9">
        <v>824</v>
      </c>
      <c r="FA34" s="9">
        <v>786</v>
      </c>
      <c r="FB34" s="13">
        <v>673</v>
      </c>
      <c r="FC34" s="9">
        <v>921</v>
      </c>
      <c r="FD34" s="36">
        <v>797</v>
      </c>
      <c r="FE34" s="33">
        <v>1267</v>
      </c>
      <c r="FF34" s="33">
        <v>907</v>
      </c>
      <c r="FG34" s="36">
        <v>554</v>
      </c>
      <c r="FH34" s="36">
        <v>863</v>
      </c>
      <c r="FI34" s="36">
        <v>848</v>
      </c>
      <c r="FJ34" s="36">
        <v>844</v>
      </c>
      <c r="FK34" s="36">
        <v>882</v>
      </c>
      <c r="FL34" s="1">
        <v>862</v>
      </c>
      <c r="FM34" s="1">
        <v>776</v>
      </c>
      <c r="FN34" s="6">
        <v>650</v>
      </c>
      <c r="FO34" s="1">
        <v>931</v>
      </c>
      <c r="FP34" s="1">
        <v>852</v>
      </c>
      <c r="FQ34" s="1">
        <v>847</v>
      </c>
      <c r="FR34" s="1">
        <v>903</v>
      </c>
      <c r="FS34" s="1">
        <v>932</v>
      </c>
      <c r="FT34" s="1">
        <v>973</v>
      </c>
      <c r="FU34" s="1">
        <v>820</v>
      </c>
      <c r="FV34" s="1">
        <v>909</v>
      </c>
      <c r="FW34" s="1">
        <v>866</v>
      </c>
      <c r="FX34" s="1">
        <v>850</v>
      </c>
      <c r="FY34" s="1">
        <v>771</v>
      </c>
      <c r="FZ34" s="1">
        <v>611</v>
      </c>
      <c r="GA34" s="48">
        <v>898</v>
      </c>
      <c r="GB34" s="1">
        <v>882</v>
      </c>
      <c r="GC34" s="1">
        <v>1052</v>
      </c>
      <c r="GD34" s="1">
        <v>890</v>
      </c>
      <c r="GE34" s="1">
        <v>1016</v>
      </c>
      <c r="GF34" s="1">
        <v>728</v>
      </c>
      <c r="GG34" s="1">
        <v>817</v>
      </c>
      <c r="GH34" s="1">
        <v>931</v>
      </c>
      <c r="GI34" s="1">
        <v>777</v>
      </c>
      <c r="GJ34" s="1">
        <v>785</v>
      </c>
      <c r="GK34" s="1">
        <v>745</v>
      </c>
      <c r="GL34" s="1">
        <v>587</v>
      </c>
      <c r="GM34" s="48" t="s">
        <v>74</v>
      </c>
      <c r="GN34" s="1">
        <v>915</v>
      </c>
      <c r="GO34" s="1">
        <v>767</v>
      </c>
      <c r="GP34" s="1">
        <v>622</v>
      </c>
      <c r="GQ34" s="1">
        <v>945</v>
      </c>
      <c r="GR34" s="1">
        <v>696</v>
      </c>
      <c r="GS34" s="1">
        <v>739</v>
      </c>
      <c r="GT34" s="1">
        <v>912</v>
      </c>
      <c r="GU34" s="1">
        <v>879</v>
      </c>
      <c r="GV34" s="1">
        <v>856</v>
      </c>
      <c r="GW34" s="1">
        <v>759</v>
      </c>
      <c r="GX34" s="6">
        <v>597</v>
      </c>
      <c r="GY34" s="1">
        <v>885</v>
      </c>
      <c r="GZ34" s="1">
        <v>790</v>
      </c>
      <c r="HA34" s="1">
        <v>902</v>
      </c>
      <c r="HB34" s="1">
        <v>853</v>
      </c>
      <c r="HC34" s="1">
        <v>826</v>
      </c>
      <c r="HD34" s="1">
        <v>893</v>
      </c>
      <c r="HE34" s="1">
        <v>865</v>
      </c>
      <c r="HF34" s="1">
        <v>1043</v>
      </c>
      <c r="HG34" s="1">
        <v>973</v>
      </c>
      <c r="HH34" s="1">
        <v>913</v>
      </c>
      <c r="HI34" s="1">
        <v>811</v>
      </c>
      <c r="HJ34" s="1">
        <v>721</v>
      </c>
      <c r="HK34" s="48">
        <v>957</v>
      </c>
      <c r="HL34" s="1">
        <v>837</v>
      </c>
      <c r="HM34" s="1">
        <v>1014</v>
      </c>
      <c r="HN34" s="1">
        <v>949</v>
      </c>
      <c r="HO34" s="1">
        <v>947</v>
      </c>
      <c r="HP34" s="1">
        <v>890</v>
      </c>
      <c r="HQ34" s="1">
        <v>865</v>
      </c>
      <c r="HR34" s="1">
        <v>914</v>
      </c>
      <c r="HS34" s="1">
        <v>949</v>
      </c>
      <c r="HT34" s="1">
        <v>837</v>
      </c>
      <c r="HU34" s="1">
        <v>824</v>
      </c>
      <c r="HV34" s="1">
        <v>728</v>
      </c>
      <c r="HW34" s="48">
        <v>923</v>
      </c>
      <c r="HX34" s="1">
        <v>765</v>
      </c>
      <c r="HY34" s="1">
        <v>911</v>
      </c>
      <c r="HZ34" s="1">
        <v>865</v>
      </c>
      <c r="IA34" s="1">
        <v>802</v>
      </c>
      <c r="IB34" s="1">
        <v>856</v>
      </c>
      <c r="IC34" s="1">
        <v>704</v>
      </c>
      <c r="ID34" s="1">
        <v>808</v>
      </c>
      <c r="IE34" s="1">
        <v>813</v>
      </c>
      <c r="IF34" s="1">
        <v>882</v>
      </c>
      <c r="IG34" s="1">
        <v>724</v>
      </c>
      <c r="IH34" s="1">
        <v>591</v>
      </c>
      <c r="II34" s="48">
        <v>848</v>
      </c>
      <c r="IJ34" s="1">
        <v>817</v>
      </c>
      <c r="IK34" s="1">
        <v>816</v>
      </c>
      <c r="IL34" s="1">
        <v>826</v>
      </c>
      <c r="IM34" s="1">
        <v>781</v>
      </c>
      <c r="IN34" s="1">
        <v>782</v>
      </c>
      <c r="IO34" s="1">
        <v>774</v>
      </c>
      <c r="IP34" s="1">
        <v>845</v>
      </c>
      <c r="IQ34" s="1">
        <v>814</v>
      </c>
      <c r="IR34" s="1">
        <v>837</v>
      </c>
      <c r="IS34" s="1">
        <v>804</v>
      </c>
      <c r="IT34" s="6">
        <v>604</v>
      </c>
      <c r="IU34" s="1">
        <v>913</v>
      </c>
      <c r="IV34" s="1">
        <v>815</v>
      </c>
      <c r="IW34" s="1">
        <v>913</v>
      </c>
      <c r="IX34" s="1">
        <v>927</v>
      </c>
      <c r="IY34" s="1">
        <v>855</v>
      </c>
      <c r="IZ34" s="1">
        <v>813</v>
      </c>
      <c r="JA34" s="1">
        <v>902</v>
      </c>
      <c r="JB34" s="1">
        <v>955</v>
      </c>
      <c r="JC34" s="1">
        <v>931</v>
      </c>
      <c r="JD34" s="1">
        <v>953</v>
      </c>
      <c r="JE34" s="1">
        <v>934</v>
      </c>
      <c r="JF34" s="1">
        <v>685</v>
      </c>
      <c r="JG34" s="48">
        <v>1046</v>
      </c>
      <c r="JH34" s="1">
        <v>885</v>
      </c>
      <c r="JI34" s="1">
        <v>1054</v>
      </c>
    </row>
    <row r="35" spans="1:269" ht="13.5" x14ac:dyDescent="0.25">
      <c r="A35" s="1" t="s">
        <v>78</v>
      </c>
      <c r="B35" s="1">
        <v>26</v>
      </c>
      <c r="C35" s="9">
        <v>500</v>
      </c>
      <c r="D35" s="9">
        <v>436</v>
      </c>
      <c r="E35" s="9">
        <v>576</v>
      </c>
      <c r="F35" s="9">
        <v>524</v>
      </c>
      <c r="G35" s="9">
        <v>561</v>
      </c>
      <c r="H35" s="9">
        <v>538</v>
      </c>
      <c r="I35" s="9">
        <v>505</v>
      </c>
      <c r="J35" s="9">
        <v>496</v>
      </c>
      <c r="K35" s="9">
        <v>561</v>
      </c>
      <c r="L35" s="9">
        <v>583</v>
      </c>
      <c r="M35" s="9">
        <v>452</v>
      </c>
      <c r="N35" s="13">
        <v>392</v>
      </c>
      <c r="O35" s="9">
        <v>505</v>
      </c>
      <c r="P35" s="9">
        <f>34+318+2+2+69+13+2</f>
        <v>440</v>
      </c>
      <c r="Q35" s="9">
        <f>414+1+91+27+1+46</f>
        <v>580</v>
      </c>
      <c r="R35" s="9">
        <f>37+460+1+65+32+1</f>
        <v>596</v>
      </c>
      <c r="S35" s="9">
        <f>329+56+18</f>
        <v>403</v>
      </c>
      <c r="T35" s="9">
        <f>373+44+65+33+2</f>
        <v>517</v>
      </c>
      <c r="U35" s="9">
        <f>64+320+2+2+75+46+5</f>
        <v>514</v>
      </c>
      <c r="V35" s="9">
        <f>55+387+2+103+20+6</f>
        <v>573</v>
      </c>
      <c r="W35" s="9">
        <f>36+374+134+36+1</f>
        <v>581</v>
      </c>
      <c r="X35" s="9">
        <f>21+348+52+25+3</f>
        <v>449</v>
      </c>
      <c r="Y35" s="9">
        <f>37+346+1+80+24+2</f>
        <v>490</v>
      </c>
      <c r="Z35" s="13">
        <f>27+275+1+39+16</f>
        <v>358</v>
      </c>
      <c r="AA35" s="9">
        <v>477</v>
      </c>
      <c r="AB35" s="9">
        <v>490</v>
      </c>
      <c r="AC35" s="9">
        <v>571</v>
      </c>
      <c r="AD35" s="9">
        <v>524</v>
      </c>
      <c r="AE35" s="9">
        <v>632</v>
      </c>
      <c r="AF35" s="9">
        <v>466</v>
      </c>
      <c r="AG35" s="9">
        <v>504</v>
      </c>
      <c r="AH35" s="9">
        <f>44+360+3+98+33+5</f>
        <v>543</v>
      </c>
      <c r="AI35" s="9">
        <f>35+404+1+1+86+31+4</f>
        <v>562</v>
      </c>
      <c r="AJ35" s="9">
        <f>49+389+66+34+2</f>
        <v>540</v>
      </c>
      <c r="AK35" s="9">
        <f>54+342+1+56+28+2</f>
        <v>483</v>
      </c>
      <c r="AL35" s="13">
        <f>1+253+1+34+12+2</f>
        <v>303</v>
      </c>
      <c r="AM35" s="9">
        <f>34+373+1+75+27+4</f>
        <v>514</v>
      </c>
      <c r="AN35" s="9">
        <f>33+299+1+62+37+3</f>
        <v>435</v>
      </c>
      <c r="AO35" s="9">
        <f>41+357+1+78+37+4</f>
        <v>518</v>
      </c>
      <c r="AP35" s="9">
        <f>25+373+60+26</f>
        <v>484</v>
      </c>
      <c r="AQ35" s="9">
        <f>32+345+1+73+30+2+30+6</f>
        <v>519</v>
      </c>
      <c r="AR35" s="9">
        <f>20+332+1+74+35+1</f>
        <v>463</v>
      </c>
      <c r="AS35" s="9">
        <f>31+330+3+73+24+8</f>
        <v>469</v>
      </c>
      <c r="AT35" s="9">
        <f>45+321+1+151+38+2</f>
        <v>558</v>
      </c>
      <c r="AU35" s="9">
        <f>37+338+1+106+31+2</f>
        <v>515</v>
      </c>
      <c r="AV35" s="9">
        <f>35+338+1+81+48+4</f>
        <v>507</v>
      </c>
      <c r="AW35" s="9">
        <f>25+279+51+30+2</f>
        <v>387</v>
      </c>
      <c r="AX35" s="13">
        <f>21+198+1+28+20+4</f>
        <v>272</v>
      </c>
      <c r="AY35" s="9">
        <f>29+336+64+31+7</f>
        <v>467</v>
      </c>
      <c r="AZ35" s="9">
        <f>16+411+2+65+23+5</f>
        <v>522</v>
      </c>
      <c r="BA35" s="9">
        <f>27+308+65+32+3</f>
        <v>435</v>
      </c>
      <c r="BB35" s="9">
        <f>32+355+62+30+2</f>
        <v>481</v>
      </c>
      <c r="BC35" s="9">
        <f>21+369+81+29+2</f>
        <v>502</v>
      </c>
      <c r="BD35" s="9">
        <f>21+342+1+3+64+26+2</f>
        <v>459</v>
      </c>
      <c r="BE35" s="9">
        <f>44+284+1+2+73+34+2</f>
        <v>440</v>
      </c>
      <c r="BF35" s="9">
        <f>49+340+1+90+20</f>
        <v>500</v>
      </c>
      <c r="BG35" s="9">
        <f>25+296+1+100+21+1</f>
        <v>444</v>
      </c>
      <c r="BH35" s="9">
        <f>28+309+55+27+1</f>
        <v>420</v>
      </c>
      <c r="BI35" s="9">
        <v>382</v>
      </c>
      <c r="BJ35" s="13">
        <f>12+201+44+15+3</f>
        <v>275</v>
      </c>
      <c r="BK35" s="9">
        <f>26+312+45+14+2</f>
        <v>399</v>
      </c>
      <c r="BL35" s="9">
        <f>25+280+43+11+1</f>
        <v>360</v>
      </c>
      <c r="BM35" s="9">
        <f>23+368+38+23</f>
        <v>452</v>
      </c>
      <c r="BN35" s="9">
        <f>25+323+40+17</f>
        <v>405</v>
      </c>
      <c r="BO35" s="9">
        <f>31+414+63+15+2</f>
        <v>525</v>
      </c>
      <c r="BP35" s="9">
        <v>267</v>
      </c>
      <c r="BQ35" s="9">
        <v>495</v>
      </c>
      <c r="BR35" s="9">
        <v>532</v>
      </c>
      <c r="BS35" s="9">
        <v>494</v>
      </c>
      <c r="BT35" s="9">
        <f>43+404+15+18+4</f>
        <v>484</v>
      </c>
      <c r="BU35" s="9">
        <v>447</v>
      </c>
      <c r="BV35" s="13">
        <v>337</v>
      </c>
      <c r="BW35" s="9">
        <v>548</v>
      </c>
      <c r="BX35" s="9">
        <v>546</v>
      </c>
      <c r="BY35" s="9">
        <v>545</v>
      </c>
      <c r="BZ35" s="9">
        <v>683</v>
      </c>
      <c r="CA35" s="9">
        <v>554</v>
      </c>
      <c r="CB35" s="9">
        <v>551</v>
      </c>
      <c r="CC35" s="9">
        <v>567</v>
      </c>
      <c r="CD35" s="9">
        <v>633</v>
      </c>
      <c r="CE35" s="9">
        <v>594</v>
      </c>
      <c r="CF35" s="9">
        <v>541</v>
      </c>
      <c r="CG35" s="9">
        <v>503</v>
      </c>
      <c r="CH35" s="13">
        <v>379</v>
      </c>
      <c r="CI35" s="9">
        <v>611</v>
      </c>
      <c r="CJ35" s="9">
        <v>547</v>
      </c>
      <c r="CK35" s="9">
        <v>564</v>
      </c>
      <c r="CL35" s="9">
        <v>653</v>
      </c>
      <c r="CM35" s="9">
        <v>606</v>
      </c>
      <c r="CN35" s="9">
        <v>395</v>
      </c>
      <c r="CO35" s="9">
        <v>574</v>
      </c>
      <c r="CP35" s="9">
        <v>450</v>
      </c>
      <c r="CQ35" s="9">
        <v>493</v>
      </c>
      <c r="CR35" s="9">
        <v>438</v>
      </c>
      <c r="CS35" s="9">
        <v>399</v>
      </c>
      <c r="CT35" s="13">
        <v>325</v>
      </c>
      <c r="CU35" s="9">
        <v>501</v>
      </c>
      <c r="CV35" s="9">
        <f>21+343+32+14+2</f>
        <v>412</v>
      </c>
      <c r="CW35" s="9">
        <f>25+444+47+18+4</f>
        <v>538</v>
      </c>
      <c r="CX35" s="9">
        <f>26+377+50+12+7</f>
        <v>472</v>
      </c>
      <c r="CY35" s="9">
        <f>27+391+47+12+5</f>
        <v>482</v>
      </c>
      <c r="CZ35" s="9">
        <v>415</v>
      </c>
      <c r="DA35" s="9">
        <f>27+397+27+16+5</f>
        <v>472</v>
      </c>
      <c r="DB35" s="9">
        <v>492</v>
      </c>
      <c r="DC35" s="9">
        <v>501</v>
      </c>
      <c r="DD35" s="9">
        <v>405</v>
      </c>
      <c r="DE35" s="9">
        <v>370</v>
      </c>
      <c r="DF35" s="13">
        <v>281</v>
      </c>
      <c r="DG35" s="9">
        <v>463</v>
      </c>
      <c r="DH35" s="9">
        <v>442</v>
      </c>
      <c r="DI35" s="9">
        <v>574</v>
      </c>
      <c r="DJ35" s="9">
        <v>563</v>
      </c>
      <c r="DK35" s="9">
        <v>564</v>
      </c>
      <c r="DL35" s="9">
        <v>551</v>
      </c>
      <c r="DM35" s="9">
        <v>509</v>
      </c>
      <c r="DN35" s="9">
        <v>541</v>
      </c>
      <c r="DO35" s="9">
        <v>520</v>
      </c>
      <c r="DP35" s="9">
        <v>452</v>
      </c>
      <c r="DQ35" s="9">
        <v>493</v>
      </c>
      <c r="DR35" s="13">
        <v>349</v>
      </c>
      <c r="DS35" s="9">
        <v>540</v>
      </c>
      <c r="DT35" s="9">
        <v>494</v>
      </c>
      <c r="DU35" s="9">
        <v>537</v>
      </c>
      <c r="DV35" s="9">
        <v>506</v>
      </c>
      <c r="DW35" s="9">
        <v>498</v>
      </c>
      <c r="DX35" s="9">
        <v>444</v>
      </c>
      <c r="DY35" s="9">
        <v>504</v>
      </c>
      <c r="DZ35" s="9">
        <v>520</v>
      </c>
      <c r="EA35" s="9">
        <v>471</v>
      </c>
      <c r="EB35" s="9">
        <v>458</v>
      </c>
      <c r="EC35" s="9">
        <v>395</v>
      </c>
      <c r="ED35" s="13">
        <v>282</v>
      </c>
      <c r="EE35" s="9">
        <v>481</v>
      </c>
      <c r="EF35" s="9">
        <v>424</v>
      </c>
      <c r="EG35" s="9">
        <v>478</v>
      </c>
      <c r="EH35" s="9">
        <v>477</v>
      </c>
      <c r="EI35" s="9">
        <v>494</v>
      </c>
      <c r="EJ35" s="9">
        <v>473</v>
      </c>
      <c r="EK35" s="9">
        <v>417</v>
      </c>
      <c r="EL35" s="9">
        <v>552</v>
      </c>
      <c r="EM35" s="9">
        <v>523</v>
      </c>
      <c r="EN35" s="9">
        <v>478</v>
      </c>
      <c r="EO35" s="9">
        <v>418</v>
      </c>
      <c r="EP35" s="13">
        <v>335</v>
      </c>
      <c r="EQ35" s="9">
        <v>530</v>
      </c>
      <c r="ER35" s="9">
        <v>467</v>
      </c>
      <c r="ES35" s="9">
        <v>529</v>
      </c>
      <c r="ET35" s="9">
        <v>556</v>
      </c>
      <c r="EU35" s="9">
        <v>527</v>
      </c>
      <c r="EV35" s="9">
        <v>492</v>
      </c>
      <c r="EW35" s="9">
        <v>546</v>
      </c>
      <c r="EX35" s="9">
        <v>536</v>
      </c>
      <c r="EY35" s="9">
        <v>455</v>
      </c>
      <c r="EZ35" s="9">
        <v>488</v>
      </c>
      <c r="FA35" s="9">
        <v>418</v>
      </c>
      <c r="FB35" s="13">
        <v>365</v>
      </c>
      <c r="FC35" s="9">
        <v>532</v>
      </c>
      <c r="FD35" s="36">
        <v>451</v>
      </c>
      <c r="FE35" s="33">
        <v>643</v>
      </c>
      <c r="FF35" s="33">
        <v>581</v>
      </c>
      <c r="FG35" s="36">
        <v>554</v>
      </c>
      <c r="FH35" s="36">
        <v>521</v>
      </c>
      <c r="FI35" s="36">
        <v>520</v>
      </c>
      <c r="FJ35" s="36">
        <v>580</v>
      </c>
      <c r="FK35" s="36">
        <v>574</v>
      </c>
      <c r="FL35" s="1">
        <v>523</v>
      </c>
      <c r="FM35" s="1">
        <v>452</v>
      </c>
      <c r="FN35" s="6">
        <v>347</v>
      </c>
      <c r="FO35" s="1">
        <v>576</v>
      </c>
      <c r="FP35" s="1">
        <v>520</v>
      </c>
      <c r="FQ35" s="1">
        <v>510</v>
      </c>
      <c r="FR35" s="1">
        <v>601</v>
      </c>
      <c r="FS35" s="1">
        <v>583</v>
      </c>
      <c r="FT35" s="1">
        <v>532</v>
      </c>
      <c r="FU35" s="1">
        <v>479</v>
      </c>
      <c r="FV35" s="1">
        <v>559</v>
      </c>
      <c r="FW35" s="1">
        <v>560</v>
      </c>
      <c r="FX35" s="1">
        <v>501</v>
      </c>
      <c r="FY35" s="1">
        <v>462</v>
      </c>
      <c r="FZ35" s="1">
        <v>354</v>
      </c>
      <c r="GA35" s="48">
        <v>587</v>
      </c>
      <c r="GB35" s="1">
        <v>514</v>
      </c>
      <c r="GC35" s="1">
        <v>551</v>
      </c>
      <c r="GD35" s="1">
        <v>550</v>
      </c>
      <c r="GE35" s="1">
        <v>573</v>
      </c>
      <c r="GF35" s="1">
        <v>464</v>
      </c>
      <c r="GG35" s="1">
        <v>492</v>
      </c>
      <c r="GH35" s="1">
        <v>604</v>
      </c>
      <c r="GI35" s="1">
        <v>504</v>
      </c>
      <c r="GJ35" s="1">
        <v>479</v>
      </c>
      <c r="GK35" s="1">
        <v>452</v>
      </c>
      <c r="GL35" s="1">
        <v>312</v>
      </c>
      <c r="GM35" s="48" t="s">
        <v>74</v>
      </c>
      <c r="GN35" s="1">
        <v>553</v>
      </c>
      <c r="GO35" s="1">
        <v>471</v>
      </c>
      <c r="GP35" s="1">
        <v>356</v>
      </c>
      <c r="GQ35" s="1">
        <v>463</v>
      </c>
      <c r="GR35" s="1">
        <v>503</v>
      </c>
      <c r="GS35" s="1">
        <v>522</v>
      </c>
      <c r="GT35" s="1">
        <v>678</v>
      </c>
      <c r="GU35" s="1">
        <v>630</v>
      </c>
      <c r="GV35" s="1">
        <v>573</v>
      </c>
      <c r="GW35" s="1">
        <v>493</v>
      </c>
      <c r="GX35" s="6">
        <v>335</v>
      </c>
      <c r="GY35" s="1">
        <v>551</v>
      </c>
      <c r="GZ35" s="1">
        <v>499</v>
      </c>
      <c r="HA35" s="1">
        <v>617</v>
      </c>
      <c r="HB35" s="1">
        <v>642</v>
      </c>
      <c r="HC35" s="1">
        <v>608</v>
      </c>
      <c r="HD35" s="1">
        <v>649</v>
      </c>
      <c r="HE35" s="1">
        <v>611</v>
      </c>
      <c r="HF35" s="1">
        <v>745</v>
      </c>
      <c r="HG35" s="1">
        <v>656</v>
      </c>
      <c r="HH35" s="1">
        <v>604</v>
      </c>
      <c r="HI35" s="1">
        <v>527</v>
      </c>
      <c r="HJ35" s="1">
        <v>408</v>
      </c>
      <c r="HK35" s="48">
        <v>602</v>
      </c>
      <c r="HL35" s="1">
        <v>533</v>
      </c>
      <c r="HM35" s="1">
        <v>627</v>
      </c>
      <c r="HN35" s="1">
        <v>619</v>
      </c>
      <c r="HO35" s="1">
        <v>608</v>
      </c>
      <c r="HP35" s="1">
        <v>556</v>
      </c>
      <c r="HQ35" s="1">
        <v>539</v>
      </c>
      <c r="HR35" s="1">
        <v>594</v>
      </c>
      <c r="HS35" s="1">
        <v>619</v>
      </c>
      <c r="HT35" s="1">
        <v>505</v>
      </c>
      <c r="HU35" s="1">
        <v>534</v>
      </c>
      <c r="HV35" s="1">
        <v>393</v>
      </c>
      <c r="HW35" s="48">
        <v>574</v>
      </c>
      <c r="HX35" s="1">
        <v>477</v>
      </c>
      <c r="HY35" s="1">
        <v>592</v>
      </c>
      <c r="HZ35" s="1">
        <v>560</v>
      </c>
      <c r="IA35" s="1">
        <v>478</v>
      </c>
      <c r="IB35" s="1">
        <v>469</v>
      </c>
      <c r="IC35" s="1">
        <v>432</v>
      </c>
      <c r="ID35" s="1">
        <v>539</v>
      </c>
      <c r="IE35" s="1">
        <v>495</v>
      </c>
      <c r="IF35" s="1">
        <v>452</v>
      </c>
      <c r="IG35" s="1">
        <v>429</v>
      </c>
      <c r="IH35" s="1">
        <v>335</v>
      </c>
      <c r="II35" s="48">
        <v>529</v>
      </c>
      <c r="IJ35" s="1">
        <v>697</v>
      </c>
      <c r="IK35" s="1">
        <v>530</v>
      </c>
      <c r="IL35" s="1">
        <v>535</v>
      </c>
      <c r="IM35" s="1">
        <v>495</v>
      </c>
      <c r="IN35" s="1">
        <v>473</v>
      </c>
      <c r="IO35" s="1">
        <v>462</v>
      </c>
      <c r="IP35" s="1">
        <v>543</v>
      </c>
      <c r="IQ35" s="1">
        <v>508</v>
      </c>
      <c r="IR35" s="1">
        <v>515</v>
      </c>
      <c r="IS35" s="1">
        <v>467</v>
      </c>
      <c r="IT35" s="6">
        <v>312</v>
      </c>
      <c r="IU35" s="1">
        <v>549</v>
      </c>
      <c r="IV35" s="1">
        <v>489</v>
      </c>
      <c r="IW35" s="1">
        <v>566</v>
      </c>
      <c r="IX35" s="1">
        <v>582</v>
      </c>
      <c r="IY35" s="1">
        <v>582</v>
      </c>
      <c r="IZ35" s="1">
        <v>471</v>
      </c>
      <c r="JA35" s="1">
        <v>497</v>
      </c>
      <c r="JB35" s="1">
        <v>610</v>
      </c>
      <c r="JC35" s="1">
        <v>575</v>
      </c>
      <c r="JD35" s="1">
        <v>574</v>
      </c>
      <c r="JE35" s="1">
        <v>547</v>
      </c>
      <c r="JF35" s="1">
        <v>351</v>
      </c>
      <c r="JG35" s="48">
        <v>625</v>
      </c>
      <c r="JH35" s="1">
        <v>581</v>
      </c>
      <c r="JI35" s="1">
        <v>640</v>
      </c>
    </row>
    <row r="36" spans="1:269" ht="13.5" x14ac:dyDescent="0.25">
      <c r="A36" s="1" t="s">
        <v>9</v>
      </c>
      <c r="B36" s="1">
        <v>27</v>
      </c>
      <c r="C36" s="9">
        <v>200</v>
      </c>
      <c r="D36" s="9">
        <v>278</v>
      </c>
      <c r="E36" s="9">
        <v>275</v>
      </c>
      <c r="F36" s="9">
        <v>227</v>
      </c>
      <c r="G36" s="9">
        <v>235</v>
      </c>
      <c r="H36" s="9">
        <v>232</v>
      </c>
      <c r="I36" s="9">
        <v>229</v>
      </c>
      <c r="J36" s="9">
        <v>218</v>
      </c>
      <c r="K36" s="9">
        <v>205</v>
      </c>
      <c r="L36" s="9">
        <v>212</v>
      </c>
      <c r="M36" s="9">
        <v>297</v>
      </c>
      <c r="N36" s="13">
        <v>267</v>
      </c>
      <c r="O36" s="9">
        <v>262</v>
      </c>
      <c r="P36" s="9">
        <v>205</v>
      </c>
      <c r="Q36" s="9">
        <v>270</v>
      </c>
      <c r="R36" s="9">
        <v>242</v>
      </c>
      <c r="S36" s="9">
        <v>216</v>
      </c>
      <c r="T36" s="9">
        <v>224</v>
      </c>
      <c r="U36" s="9">
        <v>226</v>
      </c>
      <c r="V36" s="9">
        <v>240</v>
      </c>
      <c r="W36" s="9">
        <v>374</v>
      </c>
      <c r="X36" s="9">
        <v>341</v>
      </c>
      <c r="Y36" s="9">
        <v>214</v>
      </c>
      <c r="Z36" s="13">
        <v>136</v>
      </c>
      <c r="AA36" s="9">
        <v>201</v>
      </c>
      <c r="AB36" s="9">
        <v>317</v>
      </c>
      <c r="AC36" s="9">
        <v>334</v>
      </c>
      <c r="AD36" s="9">
        <v>233</v>
      </c>
      <c r="AE36" s="9">
        <v>238</v>
      </c>
      <c r="AF36" s="9">
        <v>261</v>
      </c>
      <c r="AG36" s="9">
        <v>225</v>
      </c>
      <c r="AH36" s="9">
        <v>227</v>
      </c>
      <c r="AI36" s="9">
        <v>244</v>
      </c>
      <c r="AJ36" s="9">
        <v>263</v>
      </c>
      <c r="AK36" s="9">
        <v>226</v>
      </c>
      <c r="AL36" s="13">
        <v>216</v>
      </c>
      <c r="AM36" s="9">
        <v>246</v>
      </c>
      <c r="AN36" s="9">
        <v>298</v>
      </c>
      <c r="AO36" s="9">
        <v>354</v>
      </c>
      <c r="AP36" s="9">
        <v>331</v>
      </c>
      <c r="AQ36" s="9">
        <v>346</v>
      </c>
      <c r="AR36" s="9">
        <v>299</v>
      </c>
      <c r="AS36" s="9">
        <v>293</v>
      </c>
      <c r="AT36" s="9">
        <v>288</v>
      </c>
      <c r="AU36" s="9">
        <v>274</v>
      </c>
      <c r="AV36" s="9">
        <v>293</v>
      </c>
      <c r="AW36" s="9">
        <v>292</v>
      </c>
      <c r="AX36" s="13">
        <v>248</v>
      </c>
      <c r="AY36" s="9">
        <v>271</v>
      </c>
      <c r="AZ36" s="9">
        <v>325</v>
      </c>
      <c r="BA36" s="9">
        <v>315</v>
      </c>
      <c r="BB36" s="9">
        <v>337</v>
      </c>
      <c r="BC36" s="9">
        <v>318</v>
      </c>
      <c r="BD36" s="9">
        <v>324</v>
      </c>
      <c r="BE36" s="9">
        <v>339</v>
      </c>
      <c r="BF36" s="9">
        <v>298</v>
      </c>
      <c r="BG36" s="9">
        <v>353</v>
      </c>
      <c r="BH36" s="9">
        <v>308</v>
      </c>
      <c r="BI36" s="9">
        <v>206</v>
      </c>
      <c r="BJ36" s="13">
        <v>184</v>
      </c>
      <c r="BK36" s="9">
        <v>214</v>
      </c>
      <c r="BL36" s="9">
        <v>293</v>
      </c>
      <c r="BM36" s="9">
        <v>234</v>
      </c>
      <c r="BN36" s="9">
        <v>212</v>
      </c>
      <c r="BO36" s="9">
        <v>247</v>
      </c>
      <c r="BP36" s="9">
        <v>298</v>
      </c>
      <c r="BQ36" s="9">
        <v>321</v>
      </c>
      <c r="BR36" s="9">
        <v>277</v>
      </c>
      <c r="BS36" s="9">
        <v>286</v>
      </c>
      <c r="BT36" s="9">
        <v>270</v>
      </c>
      <c r="BU36" s="9">
        <v>282</v>
      </c>
      <c r="BV36" s="13">
        <v>253</v>
      </c>
      <c r="BW36" s="9">
        <v>259</v>
      </c>
      <c r="BX36" s="9">
        <v>294</v>
      </c>
      <c r="BY36" s="9">
        <v>303</v>
      </c>
      <c r="BZ36" s="9">
        <v>367</v>
      </c>
      <c r="CA36" s="9">
        <v>360</v>
      </c>
      <c r="CB36" s="9">
        <v>345</v>
      </c>
      <c r="CC36" s="9">
        <v>362</v>
      </c>
      <c r="CD36" s="9">
        <v>358</v>
      </c>
      <c r="CE36" s="9">
        <v>298</v>
      </c>
      <c r="CF36" s="9">
        <v>308</v>
      </c>
      <c r="CG36" s="9">
        <v>310</v>
      </c>
      <c r="CH36" s="13">
        <v>303</v>
      </c>
      <c r="CI36" s="9">
        <v>326</v>
      </c>
      <c r="CJ36" s="9">
        <v>414</v>
      </c>
      <c r="CK36" s="9">
        <v>435</v>
      </c>
      <c r="CL36" s="9">
        <v>393</v>
      </c>
      <c r="CM36" s="9">
        <v>374</v>
      </c>
      <c r="CN36" s="9">
        <v>337</v>
      </c>
      <c r="CO36" s="9">
        <v>343</v>
      </c>
      <c r="CP36" s="9">
        <v>334</v>
      </c>
      <c r="CQ36" s="9">
        <v>330</v>
      </c>
      <c r="CR36" s="9">
        <v>279</v>
      </c>
      <c r="CS36" s="9">
        <v>252</v>
      </c>
      <c r="CT36" s="13">
        <v>214</v>
      </c>
      <c r="CU36" s="9">
        <v>279</v>
      </c>
      <c r="CV36" s="9">
        <v>374</v>
      </c>
      <c r="CW36" s="9">
        <v>281</v>
      </c>
      <c r="CX36" s="9">
        <v>238</v>
      </c>
      <c r="CY36" s="9">
        <v>300</v>
      </c>
      <c r="CZ36" s="9">
        <v>303</v>
      </c>
      <c r="DA36" s="9">
        <v>243</v>
      </c>
      <c r="DB36" s="9">
        <v>187</v>
      </c>
      <c r="DC36" s="9">
        <v>199</v>
      </c>
      <c r="DD36" s="9">
        <v>201</v>
      </c>
      <c r="DE36" s="9">
        <v>216</v>
      </c>
      <c r="DF36" s="13">
        <v>214</v>
      </c>
      <c r="DG36" s="9">
        <v>203</v>
      </c>
      <c r="DH36" s="9">
        <v>236</v>
      </c>
      <c r="DI36" s="9">
        <v>243</v>
      </c>
      <c r="DJ36" s="9">
        <v>238</v>
      </c>
      <c r="DK36" s="9">
        <v>242</v>
      </c>
      <c r="DL36" s="9">
        <v>291</v>
      </c>
      <c r="DM36" s="9">
        <v>226</v>
      </c>
      <c r="DN36" s="9">
        <v>218</v>
      </c>
      <c r="DO36" s="9">
        <v>241</v>
      </c>
      <c r="DP36" s="9">
        <v>217</v>
      </c>
      <c r="DQ36" s="9">
        <v>202</v>
      </c>
      <c r="DR36" s="13">
        <v>195</v>
      </c>
      <c r="DS36" s="9">
        <v>163</v>
      </c>
      <c r="DT36" s="9">
        <v>181</v>
      </c>
      <c r="DU36" s="9">
        <v>269</v>
      </c>
      <c r="DV36" s="9">
        <v>305</v>
      </c>
      <c r="DW36" s="9">
        <v>281</v>
      </c>
      <c r="DX36" s="9">
        <v>283</v>
      </c>
      <c r="DY36" s="9">
        <v>254</v>
      </c>
      <c r="DZ36" s="9">
        <v>238</v>
      </c>
      <c r="EA36" s="9">
        <v>220</v>
      </c>
      <c r="EB36" s="9">
        <v>202</v>
      </c>
      <c r="EC36" s="9">
        <v>176</v>
      </c>
      <c r="ED36" s="13">
        <v>147</v>
      </c>
      <c r="EE36" s="9">
        <v>202</v>
      </c>
      <c r="EF36" s="9">
        <v>224</v>
      </c>
      <c r="EG36" s="9">
        <v>206</v>
      </c>
      <c r="EH36" s="9">
        <v>199</v>
      </c>
      <c r="EI36" s="9">
        <v>213</v>
      </c>
      <c r="EJ36" s="9">
        <v>258</v>
      </c>
      <c r="EK36" s="9">
        <v>197</v>
      </c>
      <c r="EL36" s="9">
        <v>171</v>
      </c>
      <c r="EM36" s="9">
        <v>161</v>
      </c>
      <c r="EN36" s="9">
        <v>133</v>
      </c>
      <c r="EO36" s="9">
        <v>134</v>
      </c>
      <c r="EP36" s="13">
        <v>117</v>
      </c>
      <c r="EQ36" s="9">
        <v>202</v>
      </c>
      <c r="ER36" s="9">
        <v>198</v>
      </c>
      <c r="ES36" s="9">
        <v>156</v>
      </c>
      <c r="ET36" s="9">
        <v>137</v>
      </c>
      <c r="EU36" s="9">
        <v>150</v>
      </c>
      <c r="EV36" s="9">
        <v>164</v>
      </c>
      <c r="EW36" s="9">
        <v>186</v>
      </c>
      <c r="EX36" s="9">
        <v>164</v>
      </c>
      <c r="EY36" s="9">
        <v>200</v>
      </c>
      <c r="EZ36" s="9">
        <v>182</v>
      </c>
      <c r="FA36" s="9">
        <v>159</v>
      </c>
      <c r="FB36" s="13">
        <v>146</v>
      </c>
      <c r="FC36" s="9">
        <v>180</v>
      </c>
      <c r="FD36" s="36">
        <v>191</v>
      </c>
      <c r="FE36" s="33">
        <v>211</v>
      </c>
      <c r="FF36" s="33">
        <v>210</v>
      </c>
      <c r="FG36" s="36">
        <v>197</v>
      </c>
      <c r="FH36" s="36">
        <v>183</v>
      </c>
      <c r="FI36" s="36">
        <v>180</v>
      </c>
      <c r="FJ36" s="36">
        <v>177</v>
      </c>
      <c r="FK36" s="36">
        <v>216</v>
      </c>
      <c r="FL36" s="1">
        <v>185</v>
      </c>
      <c r="FM36" s="1">
        <v>189</v>
      </c>
      <c r="FN36" s="6">
        <v>177</v>
      </c>
      <c r="FO36" s="1">
        <v>226</v>
      </c>
      <c r="FP36" s="1">
        <v>254</v>
      </c>
      <c r="FQ36" s="1">
        <v>257</v>
      </c>
      <c r="FR36" s="1">
        <v>287</v>
      </c>
      <c r="FS36" s="1">
        <v>306</v>
      </c>
      <c r="FT36" s="1">
        <v>407</v>
      </c>
      <c r="FU36" s="1">
        <v>800</v>
      </c>
      <c r="FV36" s="1">
        <v>819</v>
      </c>
      <c r="FW36" s="1">
        <v>722</v>
      </c>
      <c r="FX36" s="1">
        <v>551</v>
      </c>
      <c r="FY36" s="1">
        <v>745</v>
      </c>
      <c r="FZ36" s="1">
        <v>577</v>
      </c>
      <c r="GA36" s="48">
        <v>762</v>
      </c>
      <c r="GB36" s="1">
        <v>741</v>
      </c>
      <c r="GC36" s="1">
        <v>865</v>
      </c>
      <c r="GD36" s="1">
        <v>746</v>
      </c>
      <c r="GE36" s="1">
        <v>818</v>
      </c>
      <c r="GF36" s="1">
        <v>979</v>
      </c>
      <c r="GG36" s="1">
        <v>906</v>
      </c>
      <c r="GH36" s="1">
        <v>772</v>
      </c>
      <c r="GI36" s="1">
        <v>794</v>
      </c>
      <c r="GJ36" s="1">
        <v>705</v>
      </c>
      <c r="GK36" s="1">
        <v>824</v>
      </c>
      <c r="GL36" s="1">
        <v>720</v>
      </c>
      <c r="GM36" s="48">
        <v>1041</v>
      </c>
      <c r="GN36" s="1">
        <v>770</v>
      </c>
      <c r="GO36" s="1">
        <v>844</v>
      </c>
      <c r="GP36" s="1">
        <v>554</v>
      </c>
      <c r="GQ36" s="1">
        <v>587</v>
      </c>
      <c r="GR36" s="1">
        <v>874</v>
      </c>
      <c r="GS36" s="1">
        <v>854</v>
      </c>
      <c r="GT36" s="1">
        <v>858</v>
      </c>
      <c r="GU36" s="1">
        <v>953</v>
      </c>
      <c r="GV36" s="1">
        <v>1297</v>
      </c>
      <c r="GW36" s="1">
        <v>1193</v>
      </c>
      <c r="GX36" s="6">
        <v>930</v>
      </c>
      <c r="GY36" s="1">
        <v>1148</v>
      </c>
      <c r="GZ36" s="1">
        <v>1153</v>
      </c>
      <c r="HA36" s="1">
        <v>1318</v>
      </c>
      <c r="HB36" s="1">
        <v>1247</v>
      </c>
      <c r="HC36" s="1">
        <v>1597</v>
      </c>
      <c r="HD36" s="1">
        <v>1731</v>
      </c>
      <c r="HE36" s="1">
        <v>1632</v>
      </c>
      <c r="HF36" s="1">
        <v>1692</v>
      </c>
      <c r="HG36" s="1">
        <v>1458</v>
      </c>
      <c r="HH36" s="1">
        <v>1278</v>
      </c>
      <c r="HI36" s="1">
        <v>1433</v>
      </c>
      <c r="HJ36" s="1">
        <v>1156</v>
      </c>
      <c r="HK36" s="48">
        <v>1465</v>
      </c>
      <c r="HL36" s="1">
        <v>1700</v>
      </c>
      <c r="HM36" s="1">
        <v>1928</v>
      </c>
      <c r="HN36" s="1">
        <v>1748</v>
      </c>
      <c r="HO36" s="1">
        <v>1917</v>
      </c>
      <c r="HP36" s="1">
        <v>1890</v>
      </c>
      <c r="HQ36" s="1">
        <v>1996</v>
      </c>
      <c r="HR36" s="1">
        <v>2124</v>
      </c>
      <c r="HS36" s="1">
        <v>2222</v>
      </c>
      <c r="HT36" s="1">
        <v>2190</v>
      </c>
      <c r="HU36" s="1">
        <v>1746</v>
      </c>
      <c r="HV36" s="1">
        <v>1672</v>
      </c>
      <c r="HW36" s="48">
        <v>1414</v>
      </c>
      <c r="HX36" s="1">
        <v>1822</v>
      </c>
      <c r="HY36" s="1">
        <v>2298</v>
      </c>
      <c r="HZ36" s="1">
        <v>1667</v>
      </c>
      <c r="IA36" s="1">
        <v>2021</v>
      </c>
      <c r="IB36" s="1">
        <v>2158</v>
      </c>
      <c r="IC36" s="1">
        <v>1763</v>
      </c>
      <c r="ID36" s="1">
        <v>1626</v>
      </c>
      <c r="IE36" s="1">
        <v>1921</v>
      </c>
      <c r="IF36" s="1">
        <v>1790</v>
      </c>
      <c r="IG36" s="1">
        <v>1396</v>
      </c>
      <c r="IH36" s="1">
        <v>1332</v>
      </c>
      <c r="II36" s="48">
        <v>1828</v>
      </c>
      <c r="IJ36" s="1">
        <v>1918</v>
      </c>
      <c r="IK36" s="1">
        <v>1895</v>
      </c>
      <c r="IL36" s="1">
        <v>1522</v>
      </c>
      <c r="IM36" s="1">
        <v>1647</v>
      </c>
      <c r="IN36" s="1">
        <v>1379</v>
      </c>
      <c r="IO36" s="1">
        <v>1375</v>
      </c>
      <c r="IP36" s="1">
        <v>1421</v>
      </c>
      <c r="IQ36" s="1">
        <v>1828</v>
      </c>
      <c r="IR36" s="1">
        <v>1548</v>
      </c>
      <c r="IS36" s="1">
        <v>1642</v>
      </c>
      <c r="IT36" s="6">
        <v>1326</v>
      </c>
      <c r="IU36" s="1">
        <v>1553</v>
      </c>
      <c r="IV36" s="1">
        <v>1851</v>
      </c>
      <c r="IW36" s="1">
        <v>1714</v>
      </c>
      <c r="IX36" s="1">
        <v>1308</v>
      </c>
      <c r="IY36" s="1">
        <v>1284</v>
      </c>
      <c r="IZ36" s="1">
        <v>1435</v>
      </c>
      <c r="JA36" s="1">
        <v>1499</v>
      </c>
      <c r="JB36" s="1">
        <v>1394</v>
      </c>
      <c r="JC36" s="1">
        <v>1099</v>
      </c>
      <c r="JD36" s="1">
        <v>1243</v>
      </c>
      <c r="JE36" s="1">
        <v>1108</v>
      </c>
      <c r="JF36" s="1">
        <v>1266</v>
      </c>
      <c r="JG36" s="48">
        <v>1524</v>
      </c>
      <c r="JH36" s="1">
        <v>1215</v>
      </c>
      <c r="JI36" s="1">
        <v>1359</v>
      </c>
    </row>
    <row r="37" spans="1:269" ht="13.5" x14ac:dyDescent="0.25">
      <c r="A37" s="1" t="s">
        <v>79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3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3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3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13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13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13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13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13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13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13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13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13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13"/>
      <c r="FC37" s="9"/>
      <c r="FD37" s="36"/>
      <c r="FE37" s="33"/>
      <c r="FF37" s="33"/>
      <c r="FG37" s="36"/>
      <c r="FH37" s="36"/>
      <c r="FI37" s="36"/>
      <c r="FJ37" s="36"/>
      <c r="FK37" s="36"/>
      <c r="FN37" s="6"/>
      <c r="GA37" s="48"/>
      <c r="GM37" s="48"/>
      <c r="GX37" s="6"/>
      <c r="HK37" s="48"/>
      <c r="HW37" s="48"/>
      <c r="II37" s="48"/>
      <c r="IT37" s="6"/>
      <c r="JG37" s="48"/>
    </row>
    <row r="38" spans="1:269" ht="13.5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3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3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3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13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13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13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13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13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13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13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13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13"/>
      <c r="FA38" s="9"/>
      <c r="FB38" s="13"/>
      <c r="FC38" s="9"/>
      <c r="FD38" s="36"/>
      <c r="FE38" s="36"/>
      <c r="FF38" s="33"/>
      <c r="FG38" s="36"/>
      <c r="FH38" s="36"/>
      <c r="FI38" s="36"/>
      <c r="FJ38" s="36"/>
      <c r="FK38" s="36"/>
      <c r="FN38" s="6"/>
      <c r="GA38" s="48"/>
      <c r="GM38" s="48"/>
      <c r="GX38" s="6"/>
      <c r="HK38" s="48"/>
      <c r="HW38" s="48"/>
      <c r="IH38" s="6"/>
      <c r="IU38" s="48"/>
      <c r="JG38" s="48"/>
    </row>
    <row r="39" spans="1:269" ht="13.5" x14ac:dyDescent="0.25">
      <c r="A39" s="1" t="s">
        <v>10</v>
      </c>
      <c r="B39" s="1">
        <v>28</v>
      </c>
      <c r="C39" s="9">
        <v>1216</v>
      </c>
      <c r="D39" s="9">
        <v>1258</v>
      </c>
      <c r="E39" s="9">
        <v>1344</v>
      </c>
      <c r="F39" s="9">
        <v>1445</v>
      </c>
      <c r="G39" s="9">
        <v>1472</v>
      </c>
      <c r="H39" s="9">
        <v>1504</v>
      </c>
      <c r="I39" s="9">
        <v>1601</v>
      </c>
      <c r="J39" s="9">
        <v>1556</v>
      </c>
      <c r="K39" s="9">
        <v>1529</v>
      </c>
      <c r="L39" s="9">
        <v>1511</v>
      </c>
      <c r="M39" s="9">
        <v>1510</v>
      </c>
      <c r="N39" s="13">
        <v>1465</v>
      </c>
      <c r="O39" s="9">
        <v>1371</v>
      </c>
      <c r="P39" s="9">
        <v>1379</v>
      </c>
      <c r="Q39" s="9">
        <v>1358</v>
      </c>
      <c r="R39" s="9">
        <f>663+762</f>
        <v>1425</v>
      </c>
      <c r="S39" s="9">
        <v>1495</v>
      </c>
      <c r="T39" s="9">
        <f>871+739</f>
        <v>1610</v>
      </c>
      <c r="U39" s="9">
        <v>1686</v>
      </c>
      <c r="V39" s="9">
        <v>1645</v>
      </c>
      <c r="W39" s="9">
        <v>1623</v>
      </c>
      <c r="X39" s="9">
        <v>1637</v>
      </c>
      <c r="Y39" s="9">
        <f>803+842</f>
        <v>1645</v>
      </c>
      <c r="Z39" s="13">
        <v>1597</v>
      </c>
      <c r="AA39" s="9">
        <v>1507</v>
      </c>
      <c r="AB39" s="9">
        <v>1507</v>
      </c>
      <c r="AC39" s="9">
        <f>767+764</f>
        <v>1531</v>
      </c>
      <c r="AD39" s="9">
        <v>1598</v>
      </c>
      <c r="AE39" s="9">
        <v>1604</v>
      </c>
      <c r="AF39" s="9">
        <v>1641</v>
      </c>
      <c r="AG39" s="9">
        <v>1666</v>
      </c>
      <c r="AH39" s="9">
        <v>1619</v>
      </c>
      <c r="AI39" s="9">
        <v>1530</v>
      </c>
      <c r="AJ39" s="9">
        <v>1472</v>
      </c>
      <c r="AK39" s="9">
        <v>1435</v>
      </c>
      <c r="AL39" s="13">
        <v>1376</v>
      </c>
      <c r="AM39" s="9">
        <v>1329</v>
      </c>
      <c r="AN39" s="9">
        <v>1326</v>
      </c>
      <c r="AO39" s="9">
        <v>1321</v>
      </c>
      <c r="AP39" s="9">
        <v>1339</v>
      </c>
      <c r="AQ39" s="9">
        <v>1324</v>
      </c>
      <c r="AR39" s="9">
        <v>1384</v>
      </c>
      <c r="AS39" s="9">
        <v>1421</v>
      </c>
      <c r="AT39" s="9">
        <v>1353</v>
      </c>
      <c r="AU39" s="9">
        <v>1323</v>
      </c>
      <c r="AV39" s="9">
        <v>1252</v>
      </c>
      <c r="AW39" s="9">
        <v>1179</v>
      </c>
      <c r="AX39" s="13">
        <v>1140</v>
      </c>
      <c r="AY39" s="9">
        <v>1102</v>
      </c>
      <c r="AZ39" s="9">
        <v>1080</v>
      </c>
      <c r="BA39" s="9">
        <v>1098</v>
      </c>
      <c r="BB39" s="9">
        <v>1077</v>
      </c>
      <c r="BC39" s="9">
        <v>1113</v>
      </c>
      <c r="BD39" s="9">
        <v>1102</v>
      </c>
      <c r="BE39" s="9">
        <v>1093</v>
      </c>
      <c r="BF39" s="9">
        <v>1035</v>
      </c>
      <c r="BG39" s="9">
        <v>1064</v>
      </c>
      <c r="BH39" s="9">
        <v>1039</v>
      </c>
      <c r="BI39" s="9">
        <v>994</v>
      </c>
      <c r="BJ39" s="13">
        <v>986</v>
      </c>
      <c r="BK39" s="9">
        <v>934</v>
      </c>
      <c r="BL39" s="9">
        <v>912</v>
      </c>
      <c r="BM39" s="9">
        <v>999</v>
      </c>
      <c r="BN39" s="9">
        <v>1071</v>
      </c>
      <c r="BO39" s="9">
        <v>1095</v>
      </c>
      <c r="BP39" s="9">
        <v>1142</v>
      </c>
      <c r="BQ39" s="9">
        <v>1222</v>
      </c>
      <c r="BR39" s="9">
        <v>1270</v>
      </c>
      <c r="BS39" s="9">
        <v>1329</v>
      </c>
      <c r="BT39" s="9">
        <v>1336</v>
      </c>
      <c r="BU39" s="9">
        <v>1390</v>
      </c>
      <c r="BV39" s="13">
        <v>1348</v>
      </c>
      <c r="BW39" s="9">
        <v>1315</v>
      </c>
      <c r="BX39" s="9">
        <v>1340</v>
      </c>
      <c r="BY39" s="9">
        <v>1502</v>
      </c>
      <c r="BZ39" s="9">
        <v>1538</v>
      </c>
      <c r="CA39" s="9">
        <v>1598</v>
      </c>
      <c r="CB39" s="9">
        <v>1633</v>
      </c>
      <c r="CC39" s="9">
        <v>1671</v>
      </c>
      <c r="CD39" s="9">
        <v>1638</v>
      </c>
      <c r="CE39" s="9">
        <v>1698</v>
      </c>
      <c r="CF39" s="9">
        <v>1600</v>
      </c>
      <c r="CG39" s="9">
        <v>1616</v>
      </c>
      <c r="CH39" s="13">
        <v>1535</v>
      </c>
      <c r="CI39" s="9">
        <v>1383</v>
      </c>
      <c r="CJ39" s="9">
        <v>1359</v>
      </c>
      <c r="CK39" s="9">
        <v>1380</v>
      </c>
      <c r="CL39" s="9">
        <v>1281</v>
      </c>
      <c r="CM39" s="9">
        <v>1328</v>
      </c>
      <c r="CN39" s="9">
        <v>1315</v>
      </c>
      <c r="CO39" s="9">
        <v>1262</v>
      </c>
      <c r="CP39" s="9">
        <v>1157</v>
      </c>
      <c r="CQ39" s="9">
        <v>1140</v>
      </c>
      <c r="CR39" s="9">
        <v>1131</v>
      </c>
      <c r="CS39" s="9">
        <v>1137</v>
      </c>
      <c r="CT39" s="13">
        <v>1082</v>
      </c>
      <c r="CU39" s="9">
        <v>1054</v>
      </c>
      <c r="CV39" s="9">
        <v>1049</v>
      </c>
      <c r="CW39" s="9">
        <v>1114</v>
      </c>
      <c r="CX39" s="9">
        <v>1142</v>
      </c>
      <c r="CY39" s="9">
        <v>1123</v>
      </c>
      <c r="CZ39" s="9">
        <v>1163</v>
      </c>
      <c r="DA39" s="9">
        <v>1185</v>
      </c>
      <c r="DB39" s="9">
        <v>1197</v>
      </c>
      <c r="DC39" s="9">
        <v>1178</v>
      </c>
      <c r="DD39" s="9">
        <v>1153</v>
      </c>
      <c r="DE39" s="9">
        <v>1186</v>
      </c>
      <c r="DF39" s="13">
        <v>1145</v>
      </c>
      <c r="DG39" s="9">
        <v>1133</v>
      </c>
      <c r="DH39" s="9">
        <v>1124</v>
      </c>
      <c r="DI39" s="9">
        <v>1150</v>
      </c>
      <c r="DJ39" s="9">
        <v>1214</v>
      </c>
      <c r="DK39" s="9">
        <v>1197</v>
      </c>
      <c r="DL39" s="9">
        <v>1261</v>
      </c>
      <c r="DM39" s="9">
        <v>1313</v>
      </c>
      <c r="DN39" s="9">
        <v>1275</v>
      </c>
      <c r="DO39" s="9">
        <v>1265</v>
      </c>
      <c r="DP39" s="9">
        <v>1290</v>
      </c>
      <c r="DQ39" s="9">
        <v>1244</v>
      </c>
      <c r="DR39" s="13">
        <v>1177</v>
      </c>
      <c r="DS39" s="9">
        <v>1137</v>
      </c>
      <c r="DT39" s="9">
        <v>1097</v>
      </c>
      <c r="DU39" s="9">
        <v>1119</v>
      </c>
      <c r="DV39" s="9">
        <v>1171</v>
      </c>
      <c r="DW39" s="9">
        <v>1203</v>
      </c>
      <c r="DX39" s="9">
        <v>1266</v>
      </c>
      <c r="DY39" s="9">
        <v>1282</v>
      </c>
      <c r="DZ39" s="9">
        <v>1254</v>
      </c>
      <c r="EA39" s="9">
        <v>1211</v>
      </c>
      <c r="EB39" s="9">
        <v>1224</v>
      </c>
      <c r="EC39" s="9">
        <v>1203</v>
      </c>
      <c r="ED39" s="13">
        <v>1151</v>
      </c>
      <c r="EE39" s="9">
        <v>1092</v>
      </c>
      <c r="EF39" s="9">
        <v>1091</v>
      </c>
      <c r="EG39" s="9">
        <v>1183</v>
      </c>
      <c r="EH39" s="9">
        <v>1235</v>
      </c>
      <c r="EI39" s="9">
        <v>1225</v>
      </c>
      <c r="EJ39" s="9">
        <v>1272</v>
      </c>
      <c r="EK39" s="9">
        <v>1329</v>
      </c>
      <c r="EL39" s="9">
        <v>1345</v>
      </c>
      <c r="EM39" s="9">
        <v>1361</v>
      </c>
      <c r="EN39" s="9">
        <v>1344</v>
      </c>
      <c r="EO39" s="9">
        <v>1398</v>
      </c>
      <c r="EP39" s="13">
        <v>1304</v>
      </c>
      <c r="EQ39" s="9">
        <v>1263</v>
      </c>
      <c r="ER39" s="9">
        <v>1317</v>
      </c>
      <c r="ES39" s="9">
        <v>1326</v>
      </c>
      <c r="ET39" s="9">
        <v>1392</v>
      </c>
      <c r="EU39" s="9">
        <v>1415</v>
      </c>
      <c r="EV39" s="9">
        <v>1478</v>
      </c>
      <c r="EW39" s="9">
        <v>1534</v>
      </c>
      <c r="EX39" s="9">
        <v>1492</v>
      </c>
      <c r="EY39" s="9">
        <v>1486</v>
      </c>
      <c r="EZ39" s="9">
        <v>1485</v>
      </c>
      <c r="FA39" s="9">
        <v>1456</v>
      </c>
      <c r="FB39" s="13">
        <v>1410</v>
      </c>
      <c r="FC39" s="9">
        <v>1353</v>
      </c>
      <c r="FD39" s="36">
        <v>1424</v>
      </c>
      <c r="FE39" s="33">
        <v>1429</v>
      </c>
      <c r="FF39" s="33">
        <v>1438</v>
      </c>
      <c r="FG39" s="36">
        <v>1527</v>
      </c>
      <c r="FH39" s="36">
        <v>1588</v>
      </c>
      <c r="FI39" s="36">
        <v>1668</v>
      </c>
      <c r="FJ39" s="36">
        <v>1654</v>
      </c>
      <c r="FK39" s="36">
        <v>1637</v>
      </c>
      <c r="FL39" s="1">
        <v>1582</v>
      </c>
      <c r="FM39" s="1">
        <v>1600</v>
      </c>
      <c r="FN39" s="6">
        <v>1500</v>
      </c>
      <c r="FO39" s="1">
        <v>1452</v>
      </c>
      <c r="FP39" s="1">
        <v>1438</v>
      </c>
      <c r="FQ39" s="1">
        <v>1593</v>
      </c>
      <c r="FR39" s="1">
        <v>1690</v>
      </c>
      <c r="FS39" s="1">
        <v>1666</v>
      </c>
      <c r="FT39" s="1">
        <v>1671</v>
      </c>
      <c r="FU39" s="1">
        <v>1671</v>
      </c>
      <c r="FV39" s="1">
        <v>1623</v>
      </c>
      <c r="FW39" s="1">
        <v>1556</v>
      </c>
      <c r="FX39" s="1">
        <v>1558</v>
      </c>
      <c r="FY39" s="1">
        <v>1546</v>
      </c>
      <c r="FZ39" s="1">
        <v>1443</v>
      </c>
      <c r="GA39" s="48">
        <v>1381</v>
      </c>
      <c r="GB39" s="1">
        <v>1384</v>
      </c>
      <c r="GC39" s="1">
        <v>1441</v>
      </c>
      <c r="GD39" s="1">
        <v>1511</v>
      </c>
      <c r="GE39" s="1">
        <v>1485</v>
      </c>
      <c r="GF39" s="1">
        <v>1477</v>
      </c>
      <c r="GG39" s="1">
        <v>1514</v>
      </c>
      <c r="GH39" s="1">
        <v>1448</v>
      </c>
      <c r="GI39" s="1">
        <v>1413</v>
      </c>
      <c r="GJ39" s="1">
        <v>1432</v>
      </c>
      <c r="GK39" s="1">
        <v>1401</v>
      </c>
      <c r="GL39" s="1">
        <v>1344</v>
      </c>
      <c r="GM39" s="48">
        <v>1330</v>
      </c>
      <c r="GN39" s="1">
        <v>1314</v>
      </c>
      <c r="GO39" s="1">
        <v>1412</v>
      </c>
      <c r="GP39" s="1">
        <v>1501</v>
      </c>
      <c r="GQ39" s="1">
        <v>1550</v>
      </c>
      <c r="GR39" s="1">
        <v>1695</v>
      </c>
      <c r="GS39" s="1">
        <v>1800</v>
      </c>
      <c r="GT39" s="1">
        <v>1793</v>
      </c>
      <c r="GU39" s="1">
        <v>1836</v>
      </c>
      <c r="GV39" s="1">
        <v>1858</v>
      </c>
      <c r="GW39" s="1">
        <v>1987</v>
      </c>
      <c r="GX39" s="6">
        <v>1895</v>
      </c>
      <c r="GY39" s="1">
        <v>1765</v>
      </c>
      <c r="GZ39" s="1">
        <v>1813</v>
      </c>
      <c r="HA39" s="1">
        <v>2015</v>
      </c>
      <c r="HB39" s="1">
        <v>2093</v>
      </c>
      <c r="HC39" s="1">
        <v>2203</v>
      </c>
      <c r="HD39" s="1">
        <v>2246</v>
      </c>
      <c r="HE39" s="1">
        <v>2222</v>
      </c>
      <c r="HF39" s="1">
        <v>2130</v>
      </c>
      <c r="HG39" s="1">
        <v>2055</v>
      </c>
      <c r="HH39" s="1">
        <v>2028</v>
      </c>
      <c r="HI39" s="1">
        <v>1998</v>
      </c>
      <c r="HJ39" s="1">
        <v>1886</v>
      </c>
      <c r="HK39" s="48">
        <v>1823</v>
      </c>
      <c r="HL39" s="1">
        <v>1788</v>
      </c>
      <c r="HM39" s="1">
        <v>1800</v>
      </c>
      <c r="HN39" s="1">
        <v>1770</v>
      </c>
      <c r="HO39" s="1">
        <v>1801</v>
      </c>
      <c r="HP39" s="1">
        <v>1747</v>
      </c>
      <c r="HQ39" s="1">
        <v>1653</v>
      </c>
      <c r="HR39" s="1">
        <v>1575</v>
      </c>
      <c r="HS39" s="1">
        <v>1485</v>
      </c>
      <c r="HT39" s="1">
        <v>1461</v>
      </c>
      <c r="HU39" s="1">
        <v>1410</v>
      </c>
      <c r="HV39" s="1">
        <v>1236</v>
      </c>
      <c r="HW39" s="48">
        <v>1143</v>
      </c>
      <c r="HX39" s="1">
        <v>1204</v>
      </c>
      <c r="HY39" s="1">
        <v>1186</v>
      </c>
      <c r="HZ39" s="1">
        <v>1149</v>
      </c>
      <c r="IA39" s="1">
        <v>1152</v>
      </c>
      <c r="IB39" s="1">
        <v>1147</v>
      </c>
      <c r="IC39" s="1">
        <v>1092</v>
      </c>
      <c r="ID39" s="1">
        <v>1065</v>
      </c>
      <c r="IE39" s="1">
        <v>1052</v>
      </c>
      <c r="IF39" s="1">
        <v>1089</v>
      </c>
      <c r="IG39" s="1">
        <v>1083</v>
      </c>
      <c r="IH39" s="1">
        <v>1019</v>
      </c>
      <c r="II39" s="48">
        <v>1005</v>
      </c>
      <c r="IJ39" s="1">
        <v>1020</v>
      </c>
      <c r="IK39" s="1">
        <v>1056</v>
      </c>
      <c r="IL39" s="1">
        <v>1102</v>
      </c>
      <c r="IM39" s="1">
        <v>1125</v>
      </c>
      <c r="IN39" s="1">
        <v>1104</v>
      </c>
      <c r="IO39" s="1">
        <v>1121</v>
      </c>
      <c r="IP39" s="1">
        <v>1142</v>
      </c>
      <c r="IQ39" s="1">
        <v>1154</v>
      </c>
      <c r="IR39" s="1">
        <v>1150</v>
      </c>
      <c r="IS39" s="1">
        <v>1145</v>
      </c>
      <c r="IT39" s="6">
        <v>1092</v>
      </c>
      <c r="IU39" s="1">
        <v>1084</v>
      </c>
      <c r="IV39" s="1">
        <v>1130</v>
      </c>
      <c r="IW39" s="1">
        <v>1146</v>
      </c>
      <c r="IX39" s="1">
        <v>1280</v>
      </c>
      <c r="IY39" s="1">
        <v>1327</v>
      </c>
      <c r="IZ39" s="1">
        <v>1344</v>
      </c>
      <c r="JA39" s="1">
        <v>1393</v>
      </c>
      <c r="JB39" s="1">
        <v>1395</v>
      </c>
      <c r="JC39" s="1">
        <v>1396</v>
      </c>
      <c r="JD39" s="1">
        <v>1399</v>
      </c>
      <c r="JE39" s="1">
        <v>1413</v>
      </c>
      <c r="JF39" s="1">
        <v>1326</v>
      </c>
      <c r="JG39" s="48">
        <v>1192</v>
      </c>
      <c r="JH39" s="1">
        <v>1184</v>
      </c>
      <c r="JI39" s="1">
        <v>1284</v>
      </c>
    </row>
    <row r="40" spans="1:269" ht="13.5" x14ac:dyDescent="0.25">
      <c r="A40" s="1" t="s">
        <v>11</v>
      </c>
      <c r="B40" s="1">
        <v>29</v>
      </c>
      <c r="C40" s="9">
        <v>645</v>
      </c>
      <c r="D40" s="9">
        <v>642</v>
      </c>
      <c r="E40" s="9">
        <v>603</v>
      </c>
      <c r="F40" s="9">
        <v>592</v>
      </c>
      <c r="G40" s="9">
        <v>578</v>
      </c>
      <c r="H40" s="9">
        <v>597</v>
      </c>
      <c r="I40" s="9">
        <v>513</v>
      </c>
      <c r="J40" s="9">
        <v>511</v>
      </c>
      <c r="K40" s="9">
        <v>544</v>
      </c>
      <c r="L40" s="9">
        <v>552</v>
      </c>
      <c r="M40" s="9">
        <v>592</v>
      </c>
      <c r="N40" s="13">
        <v>591</v>
      </c>
      <c r="O40" s="9">
        <v>602</v>
      </c>
      <c r="P40" s="9">
        <v>626</v>
      </c>
      <c r="Q40" s="9">
        <v>629</v>
      </c>
      <c r="R40" s="9">
        <f>295+341</f>
        <v>636</v>
      </c>
      <c r="S40" s="9">
        <v>649</v>
      </c>
      <c r="T40" s="9">
        <f>317+284</f>
        <v>601</v>
      </c>
      <c r="U40" s="9">
        <v>502</v>
      </c>
      <c r="V40" s="9">
        <v>475</v>
      </c>
      <c r="W40" s="9">
        <v>406</v>
      </c>
      <c r="X40" s="9">
        <v>440</v>
      </c>
      <c r="Y40" s="9">
        <f>221+233</f>
        <v>454</v>
      </c>
      <c r="Z40" s="13">
        <v>460</v>
      </c>
      <c r="AA40" s="9">
        <v>473</v>
      </c>
      <c r="AB40" s="9">
        <v>468</v>
      </c>
      <c r="AC40" s="9">
        <f>293+231</f>
        <v>524</v>
      </c>
      <c r="AD40" s="9">
        <v>479</v>
      </c>
      <c r="AE40" s="9">
        <v>478</v>
      </c>
      <c r="AF40" s="9">
        <v>455</v>
      </c>
      <c r="AG40" s="9">
        <v>403</v>
      </c>
      <c r="AH40" s="9">
        <v>321</v>
      </c>
      <c r="AI40" s="9">
        <v>308</v>
      </c>
      <c r="AJ40" s="9">
        <v>328</v>
      </c>
      <c r="AK40" s="9">
        <v>448</v>
      </c>
      <c r="AL40" s="13">
        <v>375</v>
      </c>
      <c r="AM40" s="9">
        <v>367</v>
      </c>
      <c r="AN40" s="9">
        <v>413</v>
      </c>
      <c r="AO40" s="9">
        <v>421</v>
      </c>
      <c r="AP40" s="9">
        <v>434</v>
      </c>
      <c r="AQ40" s="9">
        <v>425</v>
      </c>
      <c r="AR40" s="9">
        <v>384</v>
      </c>
      <c r="AS40" s="9">
        <v>332</v>
      </c>
      <c r="AT40" s="9">
        <v>281</v>
      </c>
      <c r="AU40" s="9">
        <v>308</v>
      </c>
      <c r="AV40" s="9">
        <v>378</v>
      </c>
      <c r="AW40" s="9">
        <v>383</v>
      </c>
      <c r="AX40" s="13">
        <v>385</v>
      </c>
      <c r="AY40" s="9">
        <v>411</v>
      </c>
      <c r="AZ40" s="9">
        <v>418</v>
      </c>
      <c r="BA40" s="9">
        <v>431</v>
      </c>
      <c r="BB40" s="9">
        <v>418</v>
      </c>
      <c r="BC40" s="9">
        <v>397</v>
      </c>
      <c r="BD40" s="9">
        <v>361</v>
      </c>
      <c r="BE40" s="9">
        <v>317</v>
      </c>
      <c r="BF40" s="9">
        <v>310</v>
      </c>
      <c r="BG40" s="9">
        <v>317</v>
      </c>
      <c r="BH40" s="9">
        <v>371</v>
      </c>
      <c r="BI40" s="9">
        <v>381</v>
      </c>
      <c r="BJ40" s="13">
        <v>390</v>
      </c>
      <c r="BK40" s="9">
        <v>427</v>
      </c>
      <c r="BL40" s="9">
        <v>434</v>
      </c>
      <c r="BM40" s="9">
        <v>420</v>
      </c>
      <c r="BN40" s="9">
        <v>411</v>
      </c>
      <c r="BO40" s="9">
        <v>398</v>
      </c>
      <c r="BP40" s="9">
        <v>384</v>
      </c>
      <c r="BQ40" s="9">
        <v>333</v>
      </c>
      <c r="BR40" s="9">
        <v>293</v>
      </c>
      <c r="BS40" s="9">
        <v>258</v>
      </c>
      <c r="BT40" s="9">
        <v>245</v>
      </c>
      <c r="BU40" s="9">
        <v>239</v>
      </c>
      <c r="BV40" s="13">
        <v>308</v>
      </c>
      <c r="BW40" s="9">
        <v>340</v>
      </c>
      <c r="BX40" s="9">
        <v>354</v>
      </c>
      <c r="BY40" s="9">
        <v>348</v>
      </c>
      <c r="BZ40" s="9">
        <v>331</v>
      </c>
      <c r="CA40" s="9">
        <v>314</v>
      </c>
      <c r="CB40" s="9">
        <v>287</v>
      </c>
      <c r="CC40" s="9">
        <v>270</v>
      </c>
      <c r="CD40" s="9">
        <v>241</v>
      </c>
      <c r="CE40" s="9">
        <v>324</v>
      </c>
      <c r="CF40" s="9">
        <v>349</v>
      </c>
      <c r="CG40" s="9">
        <v>347</v>
      </c>
      <c r="CH40" s="13">
        <v>337</v>
      </c>
      <c r="CI40" s="9">
        <v>355</v>
      </c>
      <c r="CJ40" s="9">
        <v>384</v>
      </c>
      <c r="CK40" s="9">
        <v>421</v>
      </c>
      <c r="CL40" s="9">
        <v>388</v>
      </c>
      <c r="CM40" s="9">
        <v>374</v>
      </c>
      <c r="CN40" s="9">
        <v>330</v>
      </c>
      <c r="CO40" s="9">
        <v>224</v>
      </c>
      <c r="CP40" s="9">
        <v>239</v>
      </c>
      <c r="CQ40" s="9">
        <v>296</v>
      </c>
      <c r="CR40" s="9">
        <v>322</v>
      </c>
      <c r="CS40" s="9">
        <v>331</v>
      </c>
      <c r="CT40" s="13">
        <v>292</v>
      </c>
      <c r="CU40" s="9">
        <v>336</v>
      </c>
      <c r="CV40" s="9">
        <v>379</v>
      </c>
      <c r="CW40" s="9">
        <v>358</v>
      </c>
      <c r="CX40" s="9">
        <v>360</v>
      </c>
      <c r="CY40" s="9">
        <v>359</v>
      </c>
      <c r="CZ40" s="9">
        <v>329</v>
      </c>
      <c r="DA40" s="9">
        <v>252</v>
      </c>
      <c r="DB40" s="9">
        <v>241</v>
      </c>
      <c r="DC40" s="9">
        <v>296</v>
      </c>
      <c r="DD40" s="9">
        <v>336</v>
      </c>
      <c r="DE40" s="9">
        <v>308</v>
      </c>
      <c r="DF40" s="13">
        <v>286</v>
      </c>
      <c r="DG40" s="9">
        <v>309</v>
      </c>
      <c r="DH40" s="9">
        <v>330</v>
      </c>
      <c r="DI40" s="9">
        <v>324</v>
      </c>
      <c r="DJ40" s="9">
        <v>324</v>
      </c>
      <c r="DK40" s="9">
        <v>319</v>
      </c>
      <c r="DL40" s="9">
        <v>301</v>
      </c>
      <c r="DM40" s="9">
        <v>254</v>
      </c>
      <c r="DN40" s="9">
        <v>253</v>
      </c>
      <c r="DO40" s="9">
        <v>291</v>
      </c>
      <c r="DP40" s="9">
        <v>328</v>
      </c>
      <c r="DQ40" s="9">
        <v>332</v>
      </c>
      <c r="DR40" s="13">
        <v>327</v>
      </c>
      <c r="DS40" s="9">
        <v>366</v>
      </c>
      <c r="DT40" s="9">
        <v>362</v>
      </c>
      <c r="DU40" s="9">
        <v>357</v>
      </c>
      <c r="DV40" s="9">
        <v>345</v>
      </c>
      <c r="DW40" s="9">
        <v>325</v>
      </c>
      <c r="DX40" s="9">
        <v>295</v>
      </c>
      <c r="DY40" s="9">
        <v>211</v>
      </c>
      <c r="DZ40" s="9">
        <v>198</v>
      </c>
      <c r="EA40" s="9">
        <v>269</v>
      </c>
      <c r="EB40" s="9">
        <v>296</v>
      </c>
      <c r="EC40" s="9">
        <v>297</v>
      </c>
      <c r="ED40" s="13">
        <v>284</v>
      </c>
      <c r="EE40" s="9">
        <v>305</v>
      </c>
      <c r="EF40" s="9">
        <v>320</v>
      </c>
      <c r="EG40" s="9">
        <v>319</v>
      </c>
      <c r="EH40" s="9">
        <v>312</v>
      </c>
      <c r="EI40" s="9">
        <v>315</v>
      </c>
      <c r="EJ40" s="9">
        <v>281</v>
      </c>
      <c r="EK40" s="9">
        <v>246</v>
      </c>
      <c r="EL40" s="9">
        <v>214</v>
      </c>
      <c r="EM40" s="9">
        <v>280</v>
      </c>
      <c r="EN40" s="9">
        <v>313</v>
      </c>
      <c r="EO40" s="9">
        <v>343</v>
      </c>
      <c r="EP40" s="13">
        <v>321</v>
      </c>
      <c r="EQ40" s="9">
        <v>336</v>
      </c>
      <c r="ER40" s="9">
        <v>351</v>
      </c>
      <c r="ES40" s="9">
        <v>329</v>
      </c>
      <c r="ET40" s="9">
        <v>306</v>
      </c>
      <c r="EU40" s="9">
        <v>316</v>
      </c>
      <c r="EV40" s="9">
        <v>294</v>
      </c>
      <c r="EW40" s="9">
        <v>218</v>
      </c>
      <c r="EX40" s="9">
        <v>222</v>
      </c>
      <c r="EY40" s="9">
        <v>276</v>
      </c>
      <c r="EZ40" s="9">
        <v>290</v>
      </c>
      <c r="FA40" s="9">
        <v>315</v>
      </c>
      <c r="FB40" s="13">
        <v>301</v>
      </c>
      <c r="FC40" s="9">
        <v>351</v>
      </c>
      <c r="FD40" s="36">
        <v>384</v>
      </c>
      <c r="FE40" s="33">
        <v>377</v>
      </c>
      <c r="FF40" s="33">
        <v>385</v>
      </c>
      <c r="FG40" s="36">
        <v>400</v>
      </c>
      <c r="FH40" s="36">
        <v>377</v>
      </c>
      <c r="FI40" s="36">
        <v>334</v>
      </c>
      <c r="FJ40" s="36">
        <v>317</v>
      </c>
      <c r="FK40" s="36">
        <v>390</v>
      </c>
      <c r="FL40" s="1">
        <v>413</v>
      </c>
      <c r="FM40" s="1">
        <v>409</v>
      </c>
      <c r="FN40" s="6">
        <v>361</v>
      </c>
      <c r="FO40" s="1">
        <v>428</v>
      </c>
      <c r="FP40" s="1">
        <v>449</v>
      </c>
      <c r="FQ40" s="1">
        <v>329</v>
      </c>
      <c r="FR40" s="1">
        <v>331</v>
      </c>
      <c r="FS40" s="1">
        <v>316</v>
      </c>
      <c r="FT40" s="1">
        <v>258</v>
      </c>
      <c r="FU40" s="1">
        <v>188</v>
      </c>
      <c r="FV40" s="1">
        <v>175</v>
      </c>
      <c r="FW40" s="1">
        <v>224</v>
      </c>
      <c r="FX40" s="1">
        <v>262</v>
      </c>
      <c r="FY40" s="1">
        <v>268</v>
      </c>
      <c r="FZ40" s="1">
        <v>262</v>
      </c>
      <c r="GA40" s="48">
        <v>290</v>
      </c>
      <c r="GB40" s="1">
        <v>301</v>
      </c>
      <c r="GC40" s="1">
        <v>290</v>
      </c>
      <c r="GD40" s="1">
        <v>290</v>
      </c>
      <c r="GE40" s="1">
        <v>256</v>
      </c>
      <c r="GF40" s="1">
        <v>245</v>
      </c>
      <c r="GG40" s="1">
        <v>171</v>
      </c>
      <c r="GH40" s="1">
        <v>143</v>
      </c>
      <c r="GI40" s="1">
        <v>200</v>
      </c>
      <c r="GJ40" s="1">
        <v>246</v>
      </c>
      <c r="GK40" s="1">
        <v>259</v>
      </c>
      <c r="GL40" s="1">
        <v>238</v>
      </c>
      <c r="GM40" s="48">
        <v>260</v>
      </c>
      <c r="GN40" s="1">
        <v>235</v>
      </c>
      <c r="GO40" s="1">
        <v>165</v>
      </c>
      <c r="GP40" s="1">
        <v>142</v>
      </c>
      <c r="GQ40" s="1">
        <v>145</v>
      </c>
      <c r="GR40" s="1">
        <v>190</v>
      </c>
      <c r="GS40" s="1">
        <v>204</v>
      </c>
      <c r="GT40" s="1">
        <v>205</v>
      </c>
      <c r="GU40" s="1">
        <f>225+17+1</f>
        <v>243</v>
      </c>
      <c r="GV40" s="1">
        <v>269</v>
      </c>
      <c r="GW40" s="1">
        <v>306</v>
      </c>
      <c r="GX40" s="6">
        <v>289</v>
      </c>
      <c r="GY40" s="1">
        <v>314</v>
      </c>
      <c r="GZ40" s="1">
        <v>304</v>
      </c>
      <c r="HA40" s="1">
        <v>334</v>
      </c>
      <c r="HB40" s="1">
        <v>304</v>
      </c>
      <c r="HC40" s="1">
        <v>336</v>
      </c>
      <c r="HD40" s="1">
        <v>297</v>
      </c>
      <c r="HE40" s="1">
        <v>274</v>
      </c>
      <c r="HF40" s="1">
        <v>227</v>
      </c>
      <c r="HG40" s="1">
        <v>245</v>
      </c>
      <c r="HH40" s="1">
        <v>233</v>
      </c>
      <c r="HI40" s="1">
        <v>252</v>
      </c>
      <c r="HJ40" s="1">
        <v>222</v>
      </c>
      <c r="HK40" s="48">
        <v>275</v>
      </c>
      <c r="HL40" s="1">
        <v>290</v>
      </c>
      <c r="HM40" s="1">
        <v>275</v>
      </c>
      <c r="HN40" s="1">
        <v>236</v>
      </c>
      <c r="HO40" s="1">
        <v>248</v>
      </c>
      <c r="HP40" s="1">
        <v>215</v>
      </c>
      <c r="HQ40" s="1">
        <v>150</v>
      </c>
      <c r="HR40" s="1">
        <v>132</v>
      </c>
      <c r="HS40" s="1">
        <v>148</v>
      </c>
      <c r="HT40" s="1">
        <v>179</v>
      </c>
      <c r="HU40" s="1">
        <v>179</v>
      </c>
      <c r="HV40" s="1">
        <v>181</v>
      </c>
      <c r="HW40" s="48">
        <v>222</v>
      </c>
      <c r="HX40" s="1">
        <v>228</v>
      </c>
      <c r="HY40" s="1">
        <v>224</v>
      </c>
      <c r="HZ40" s="1">
        <v>211</v>
      </c>
      <c r="IA40" s="1">
        <v>217</v>
      </c>
      <c r="IB40" s="1">
        <v>195</v>
      </c>
      <c r="IC40" s="1">
        <v>153</v>
      </c>
      <c r="ID40" s="1">
        <v>144</v>
      </c>
      <c r="IE40" s="1">
        <v>140</v>
      </c>
      <c r="IF40" s="1">
        <v>177</v>
      </c>
      <c r="IG40" s="1">
        <v>196</v>
      </c>
      <c r="IH40" s="1">
        <v>174</v>
      </c>
      <c r="II40" s="48">
        <v>217</v>
      </c>
      <c r="IJ40" s="1">
        <v>255</v>
      </c>
      <c r="IK40" s="1">
        <f>246+10</f>
        <v>256</v>
      </c>
      <c r="IL40" s="1">
        <v>255</v>
      </c>
      <c r="IM40" s="1">
        <v>252</v>
      </c>
      <c r="IN40" s="1">
        <v>230</v>
      </c>
      <c r="IO40" s="1">
        <v>183</v>
      </c>
      <c r="IP40" s="1">
        <f>152+13</f>
        <v>165</v>
      </c>
      <c r="IQ40" s="1">
        <v>199</v>
      </c>
      <c r="IR40" s="1">
        <v>208</v>
      </c>
      <c r="IS40" s="1">
        <v>234</v>
      </c>
      <c r="IT40" s="6">
        <v>235</v>
      </c>
      <c r="IU40" s="1">
        <v>236</v>
      </c>
      <c r="IV40" s="1">
        <v>257</v>
      </c>
      <c r="IW40" s="1">
        <v>233</v>
      </c>
      <c r="IX40" s="1">
        <v>260</v>
      </c>
      <c r="IY40" s="1">
        <v>244</v>
      </c>
      <c r="IZ40" s="1">
        <v>249</v>
      </c>
      <c r="JA40" s="1">
        <v>183</v>
      </c>
      <c r="JB40" s="1">
        <v>179</v>
      </c>
      <c r="JC40" s="1">
        <v>223</v>
      </c>
      <c r="JD40" s="1">
        <v>243</v>
      </c>
      <c r="JE40" s="1">
        <v>256</v>
      </c>
      <c r="JF40" s="1">
        <v>259</v>
      </c>
      <c r="JG40" s="48">
        <v>259</v>
      </c>
      <c r="JH40" s="1">
        <v>256</v>
      </c>
      <c r="JI40" s="1">
        <v>266</v>
      </c>
    </row>
    <row r="41" spans="1:269" ht="13.5" x14ac:dyDescent="0.25">
      <c r="A41" s="1" t="s">
        <v>12</v>
      </c>
      <c r="B41" s="1">
        <v>30</v>
      </c>
      <c r="C41" s="9">
        <v>36</v>
      </c>
      <c r="D41" s="9">
        <v>42</v>
      </c>
      <c r="E41" s="9">
        <v>57</v>
      </c>
      <c r="F41" s="9">
        <v>67</v>
      </c>
      <c r="G41" s="9">
        <v>67</v>
      </c>
      <c r="H41" s="9">
        <v>50</v>
      </c>
      <c r="I41" s="9">
        <v>35</v>
      </c>
      <c r="J41" s="9">
        <v>47</v>
      </c>
      <c r="K41" s="9">
        <v>59</v>
      </c>
      <c r="L41" s="9">
        <v>67</v>
      </c>
      <c r="M41" s="9">
        <v>72</v>
      </c>
      <c r="N41" s="13">
        <v>43</v>
      </c>
      <c r="O41" s="9">
        <v>37</v>
      </c>
      <c r="P41" s="9">
        <v>42</v>
      </c>
      <c r="Q41" s="9">
        <v>47</v>
      </c>
      <c r="R41" s="9">
        <f>20+31</f>
        <v>51</v>
      </c>
      <c r="S41" s="9">
        <v>56</v>
      </c>
      <c r="T41" s="9">
        <f>30+30</f>
        <v>60</v>
      </c>
      <c r="U41" s="9">
        <v>52</v>
      </c>
      <c r="V41" s="9">
        <v>51</v>
      </c>
      <c r="W41" s="9">
        <v>72</v>
      </c>
      <c r="X41" s="9">
        <v>55</v>
      </c>
      <c r="Y41" s="9">
        <f>39+29</f>
        <v>68</v>
      </c>
      <c r="Z41" s="13">
        <v>47</v>
      </c>
      <c r="AA41" s="9">
        <v>63</v>
      </c>
      <c r="AB41" s="9">
        <v>62</v>
      </c>
      <c r="AC41" s="9">
        <f>28+39</f>
        <v>67</v>
      </c>
      <c r="AD41" s="9">
        <v>56</v>
      </c>
      <c r="AE41" s="9">
        <v>53</v>
      </c>
      <c r="AF41" s="9">
        <v>43</v>
      </c>
      <c r="AG41" s="9">
        <v>28</v>
      </c>
      <c r="AH41" s="9">
        <v>127</v>
      </c>
      <c r="AI41" s="9">
        <v>149</v>
      </c>
      <c r="AJ41" s="9">
        <v>151</v>
      </c>
      <c r="AK41" s="9">
        <v>147</v>
      </c>
      <c r="AL41" s="13">
        <v>106</v>
      </c>
      <c r="AM41" s="9">
        <v>126</v>
      </c>
      <c r="AN41" s="9">
        <v>136</v>
      </c>
      <c r="AO41" s="9">
        <v>128</v>
      </c>
      <c r="AP41" s="9">
        <v>117</v>
      </c>
      <c r="AQ41" s="9">
        <v>118</v>
      </c>
      <c r="AR41" s="9">
        <v>92</v>
      </c>
      <c r="AS41" s="9">
        <v>75</v>
      </c>
      <c r="AT41" s="9">
        <v>89</v>
      </c>
      <c r="AU41" s="9">
        <v>96</v>
      </c>
      <c r="AV41" s="9">
        <v>108</v>
      </c>
      <c r="AW41" s="9">
        <v>122</v>
      </c>
      <c r="AX41" s="13">
        <v>110</v>
      </c>
      <c r="AY41" s="9">
        <v>132</v>
      </c>
      <c r="AZ41" s="9">
        <v>127</v>
      </c>
      <c r="BA41" s="9">
        <v>118</v>
      </c>
      <c r="BB41" s="9">
        <v>100</v>
      </c>
      <c r="BC41" s="9">
        <v>118</v>
      </c>
      <c r="BD41" s="9">
        <v>118</v>
      </c>
      <c r="BE41" s="9">
        <v>93</v>
      </c>
      <c r="BF41" s="9">
        <v>106</v>
      </c>
      <c r="BG41" s="9">
        <v>103</v>
      </c>
      <c r="BH41" s="9">
        <v>88</v>
      </c>
      <c r="BI41" s="9">
        <v>75</v>
      </c>
      <c r="BJ41" s="13">
        <v>66</v>
      </c>
      <c r="BK41" s="9">
        <v>84</v>
      </c>
      <c r="BL41" s="9">
        <v>80</v>
      </c>
      <c r="BM41" s="9">
        <v>102</v>
      </c>
      <c r="BN41" s="9">
        <v>102</v>
      </c>
      <c r="BO41" s="9">
        <v>110</v>
      </c>
      <c r="BP41" s="9">
        <v>105</v>
      </c>
      <c r="BQ41" s="9">
        <v>76</v>
      </c>
      <c r="BR41" s="9">
        <v>100</v>
      </c>
      <c r="BS41" s="9">
        <v>100</v>
      </c>
      <c r="BT41" s="9">
        <v>102</v>
      </c>
      <c r="BU41" s="9">
        <v>107</v>
      </c>
      <c r="BV41" s="13">
        <v>90</v>
      </c>
      <c r="BW41" s="9">
        <v>95</v>
      </c>
      <c r="BX41" s="9">
        <v>92</v>
      </c>
      <c r="BY41" s="9">
        <v>101</v>
      </c>
      <c r="BZ41" s="9">
        <v>105</v>
      </c>
      <c r="CA41" s="9">
        <v>94</v>
      </c>
      <c r="CB41" s="9">
        <v>91</v>
      </c>
      <c r="CC41" s="9">
        <v>87</v>
      </c>
      <c r="CD41" s="9">
        <v>111</v>
      </c>
      <c r="CE41" s="9">
        <v>131</v>
      </c>
      <c r="CF41" s="9">
        <v>115</v>
      </c>
      <c r="CG41" s="9">
        <v>108</v>
      </c>
      <c r="CH41" s="13">
        <v>100</v>
      </c>
      <c r="CI41" s="9">
        <v>123</v>
      </c>
      <c r="CJ41" s="9">
        <v>132</v>
      </c>
      <c r="CK41" s="9">
        <v>148</v>
      </c>
      <c r="CL41" s="9">
        <v>126</v>
      </c>
      <c r="CM41" s="9">
        <v>119</v>
      </c>
      <c r="CN41" s="9">
        <v>113</v>
      </c>
      <c r="CO41" s="9">
        <v>90</v>
      </c>
      <c r="CP41" s="9">
        <v>121</v>
      </c>
      <c r="CQ41" s="9">
        <v>121</v>
      </c>
      <c r="CR41" s="9">
        <v>117</v>
      </c>
      <c r="CS41" s="9">
        <v>124</v>
      </c>
      <c r="CT41" s="13">
        <v>104</v>
      </c>
      <c r="CU41" s="9">
        <v>145</v>
      </c>
      <c r="CV41" s="9">
        <v>141</v>
      </c>
      <c r="CW41" s="9">
        <v>113</v>
      </c>
      <c r="CX41" s="9">
        <v>126</v>
      </c>
      <c r="CY41" s="9">
        <v>125</v>
      </c>
      <c r="CZ41" s="9">
        <v>105</v>
      </c>
      <c r="DA41" s="9">
        <v>95</v>
      </c>
      <c r="DB41" s="9">
        <v>103</v>
      </c>
      <c r="DC41" s="9">
        <v>102</v>
      </c>
      <c r="DD41" s="9">
        <v>126</v>
      </c>
      <c r="DE41" s="9">
        <v>114</v>
      </c>
      <c r="DF41" s="13">
        <v>96</v>
      </c>
      <c r="DG41" s="9">
        <v>109</v>
      </c>
      <c r="DH41" s="9">
        <v>118</v>
      </c>
      <c r="DI41" s="9">
        <v>144</v>
      </c>
      <c r="DJ41" s="9">
        <v>155</v>
      </c>
      <c r="DK41" s="9">
        <v>134</v>
      </c>
      <c r="DL41" s="9">
        <v>125</v>
      </c>
      <c r="DM41" s="9">
        <v>99</v>
      </c>
      <c r="DN41" s="9">
        <v>115</v>
      </c>
      <c r="DO41" s="9">
        <v>121</v>
      </c>
      <c r="DP41" s="9">
        <v>125</v>
      </c>
      <c r="DQ41" s="9">
        <v>124</v>
      </c>
      <c r="DR41" s="13">
        <v>106</v>
      </c>
      <c r="DS41" s="9">
        <v>125</v>
      </c>
      <c r="DT41" s="9">
        <v>121</v>
      </c>
      <c r="DU41" s="9">
        <v>113</v>
      </c>
      <c r="DV41" s="9">
        <v>103</v>
      </c>
      <c r="DW41" s="9">
        <v>110</v>
      </c>
      <c r="DX41" s="9">
        <v>106</v>
      </c>
      <c r="DY41" s="9">
        <v>83</v>
      </c>
      <c r="DZ41" s="9">
        <v>84</v>
      </c>
      <c r="EA41" s="9">
        <v>81</v>
      </c>
      <c r="EB41" s="9">
        <v>83</v>
      </c>
      <c r="EC41" s="9">
        <v>89</v>
      </c>
      <c r="ED41" s="13">
        <v>84</v>
      </c>
      <c r="EE41" s="9">
        <v>104</v>
      </c>
      <c r="EF41" s="9">
        <v>124</v>
      </c>
      <c r="EG41" s="9">
        <v>154</v>
      </c>
      <c r="EH41" s="9">
        <v>125</v>
      </c>
      <c r="EI41" s="9">
        <v>137</v>
      </c>
      <c r="EJ41" s="9">
        <v>138</v>
      </c>
      <c r="EK41" s="9">
        <v>111</v>
      </c>
      <c r="EL41" s="9">
        <v>117</v>
      </c>
      <c r="EM41" s="9">
        <v>130</v>
      </c>
      <c r="EN41" s="9">
        <v>157</v>
      </c>
      <c r="EO41" s="9">
        <v>185</v>
      </c>
      <c r="EP41" s="13">
        <v>150</v>
      </c>
      <c r="EQ41" s="9">
        <v>178</v>
      </c>
      <c r="ER41" s="9">
        <v>184</v>
      </c>
      <c r="ES41" s="9">
        <v>182</v>
      </c>
      <c r="ET41" s="9">
        <v>168</v>
      </c>
      <c r="EU41" s="9">
        <v>209</v>
      </c>
      <c r="EV41" s="9">
        <v>210</v>
      </c>
      <c r="EW41" s="9">
        <v>172</v>
      </c>
      <c r="EX41" s="9">
        <v>201</v>
      </c>
      <c r="EY41" s="9">
        <v>179</v>
      </c>
      <c r="EZ41" s="9">
        <v>197</v>
      </c>
      <c r="FA41" s="9">
        <v>199</v>
      </c>
      <c r="FB41" s="13">
        <v>150</v>
      </c>
      <c r="FC41" s="9">
        <v>185</v>
      </c>
      <c r="FD41" s="36">
        <v>196</v>
      </c>
      <c r="FE41" s="33">
        <v>202</v>
      </c>
      <c r="FF41" s="33">
        <v>171</v>
      </c>
      <c r="FG41" s="36">
        <v>167</v>
      </c>
      <c r="FH41" s="36">
        <v>161</v>
      </c>
      <c r="FI41" s="36">
        <v>141</v>
      </c>
      <c r="FJ41" s="36">
        <v>143</v>
      </c>
      <c r="FK41" s="36">
        <v>151</v>
      </c>
      <c r="FL41" s="1">
        <v>152</v>
      </c>
      <c r="FM41" s="1">
        <v>152</v>
      </c>
      <c r="FN41" s="6">
        <v>133</v>
      </c>
      <c r="FO41" s="1">
        <v>190</v>
      </c>
      <c r="FP41" s="1">
        <v>189</v>
      </c>
      <c r="FQ41" s="1">
        <v>0</v>
      </c>
      <c r="FR41" s="1">
        <v>0</v>
      </c>
      <c r="FS41" s="1">
        <v>0</v>
      </c>
      <c r="FT41" s="1">
        <v>0</v>
      </c>
      <c r="FU41" s="1">
        <v>0</v>
      </c>
      <c r="FV41" s="1">
        <v>3</v>
      </c>
      <c r="FW41" s="1">
        <v>3</v>
      </c>
      <c r="FX41" s="1">
        <v>8</v>
      </c>
      <c r="FY41" s="1">
        <v>7</v>
      </c>
      <c r="FZ41" s="1">
        <v>5</v>
      </c>
      <c r="GA41" s="48">
        <v>4</v>
      </c>
      <c r="GB41" s="1">
        <v>5</v>
      </c>
      <c r="GC41" s="1">
        <v>4</v>
      </c>
      <c r="GD41" s="1">
        <v>4</v>
      </c>
      <c r="GE41" s="1">
        <v>5</v>
      </c>
      <c r="GF41" s="1">
        <v>6</v>
      </c>
      <c r="GG41" s="1">
        <v>1</v>
      </c>
      <c r="GH41" s="1">
        <v>2</v>
      </c>
      <c r="GI41" s="1">
        <v>3</v>
      </c>
      <c r="GJ41" s="1">
        <v>6</v>
      </c>
      <c r="GK41" s="1">
        <v>4</v>
      </c>
      <c r="GL41" s="1">
        <v>1</v>
      </c>
      <c r="GM41" s="48">
        <v>3</v>
      </c>
      <c r="GN41" s="1">
        <v>9</v>
      </c>
      <c r="GO41" s="1">
        <v>14</v>
      </c>
      <c r="GP41" s="1">
        <v>4</v>
      </c>
      <c r="GQ41" s="1">
        <v>5</v>
      </c>
      <c r="GR41" s="1">
        <v>6</v>
      </c>
      <c r="GS41" s="1">
        <v>9</v>
      </c>
      <c r="GT41" s="1">
        <v>11</v>
      </c>
      <c r="GU41" s="1">
        <v>14</v>
      </c>
      <c r="GV41" s="1">
        <v>10</v>
      </c>
      <c r="GW41" s="1">
        <v>12</v>
      </c>
      <c r="GX41" s="6">
        <v>9</v>
      </c>
      <c r="GY41" s="1">
        <v>9</v>
      </c>
      <c r="GZ41" s="1">
        <v>9</v>
      </c>
      <c r="HA41" s="1">
        <v>10</v>
      </c>
      <c r="HB41" s="1">
        <v>14</v>
      </c>
      <c r="HC41" s="1">
        <v>11</v>
      </c>
      <c r="HD41" s="1">
        <v>10</v>
      </c>
      <c r="HE41" s="1">
        <v>3</v>
      </c>
      <c r="HF41" s="1">
        <v>2</v>
      </c>
      <c r="HG41" s="1">
        <v>2</v>
      </c>
      <c r="HH41" s="1">
        <v>5</v>
      </c>
      <c r="HI41" s="1">
        <v>9</v>
      </c>
      <c r="HJ41" s="1">
        <v>5</v>
      </c>
      <c r="HK41" s="48">
        <v>10</v>
      </c>
      <c r="HL41" s="1">
        <v>9</v>
      </c>
      <c r="HM41" s="1">
        <v>4</v>
      </c>
      <c r="HN41" s="1">
        <v>3</v>
      </c>
      <c r="HO41" s="1">
        <v>1</v>
      </c>
      <c r="HP41" s="1">
        <v>1</v>
      </c>
      <c r="HQ41" s="1">
        <v>0</v>
      </c>
      <c r="HR41" s="1">
        <v>0</v>
      </c>
      <c r="HS41" s="1">
        <v>0</v>
      </c>
      <c r="HT41" s="1">
        <v>4</v>
      </c>
      <c r="HU41" s="1">
        <v>4</v>
      </c>
      <c r="HV41" s="1">
        <v>4</v>
      </c>
      <c r="HW41" s="48">
        <v>8</v>
      </c>
      <c r="HX41" s="1">
        <v>7</v>
      </c>
      <c r="HY41" s="1">
        <v>2</v>
      </c>
      <c r="HZ41" s="1">
        <v>6</v>
      </c>
      <c r="IA41" s="1">
        <v>7</v>
      </c>
      <c r="IB41" s="1">
        <v>4</v>
      </c>
      <c r="IC41" s="1">
        <v>6</v>
      </c>
      <c r="ID41" s="1">
        <v>7</v>
      </c>
      <c r="IE41" s="1">
        <v>5</v>
      </c>
      <c r="IF41" s="1">
        <v>5</v>
      </c>
      <c r="IG41" s="1">
        <v>6</v>
      </c>
      <c r="IH41" s="1">
        <v>5</v>
      </c>
      <c r="II41" s="48">
        <v>6</v>
      </c>
      <c r="IJ41" s="1">
        <v>2</v>
      </c>
      <c r="IK41" s="1">
        <v>4</v>
      </c>
      <c r="IL41" s="1">
        <v>4</v>
      </c>
      <c r="IM41" s="1">
        <v>5</v>
      </c>
      <c r="IN41" s="1">
        <v>3</v>
      </c>
      <c r="IO41" s="1">
        <v>3</v>
      </c>
      <c r="IP41" s="1">
        <v>9</v>
      </c>
      <c r="IQ41" s="1">
        <v>9</v>
      </c>
      <c r="IR41" s="1">
        <v>8</v>
      </c>
      <c r="IS41" s="1">
        <v>7</v>
      </c>
      <c r="IT41" s="6">
        <v>7</v>
      </c>
      <c r="IU41" s="1">
        <v>4</v>
      </c>
      <c r="IV41" s="1">
        <v>7</v>
      </c>
      <c r="IW41" s="1">
        <v>6</v>
      </c>
      <c r="IX41" s="1">
        <v>5</v>
      </c>
      <c r="IY41" s="1">
        <v>6</v>
      </c>
      <c r="IZ41" s="1">
        <v>5</v>
      </c>
      <c r="JA41" s="1">
        <v>5</v>
      </c>
      <c r="JB41" s="1">
        <v>6</v>
      </c>
      <c r="JC41" s="1">
        <v>4</v>
      </c>
      <c r="JD41" s="1">
        <v>5</v>
      </c>
      <c r="JE41" s="1">
        <v>6</v>
      </c>
      <c r="JF41" s="1">
        <v>5</v>
      </c>
      <c r="JG41" s="48">
        <v>8</v>
      </c>
      <c r="JH41" s="1">
        <v>8</v>
      </c>
      <c r="JI41" s="1">
        <v>8</v>
      </c>
    </row>
    <row r="42" spans="1:269" ht="13.5" x14ac:dyDescent="0.25">
      <c r="A42" s="1" t="s">
        <v>13</v>
      </c>
      <c r="B42" s="1">
        <v>31</v>
      </c>
      <c r="C42" s="9">
        <v>443</v>
      </c>
      <c r="D42" s="9">
        <v>491</v>
      </c>
      <c r="E42" s="9">
        <v>476</v>
      </c>
      <c r="F42" s="9">
        <v>480</v>
      </c>
      <c r="G42" s="9">
        <v>463</v>
      </c>
      <c r="H42" s="9">
        <v>446</v>
      </c>
      <c r="I42" s="9">
        <v>418</v>
      </c>
      <c r="J42" s="9">
        <v>451</v>
      </c>
      <c r="K42" s="9">
        <v>475</v>
      </c>
      <c r="L42" s="9">
        <v>448</v>
      </c>
      <c r="M42" s="9">
        <v>416</v>
      </c>
      <c r="N42" s="13">
        <v>381</v>
      </c>
      <c r="O42" s="9">
        <v>459</v>
      </c>
      <c r="P42" s="9">
        <v>474</v>
      </c>
      <c r="Q42" s="9">
        <f>Q3-Q43-Q41-Q40-Q39</f>
        <v>460</v>
      </c>
      <c r="R42" s="9">
        <f>2199+2752-R4</f>
        <v>478</v>
      </c>
      <c r="S42" s="9">
        <f>4842-4368</f>
        <v>474</v>
      </c>
      <c r="T42" s="9">
        <f>2152+2534-T43</f>
        <v>458</v>
      </c>
      <c r="U42" s="9">
        <f>4709-4251</f>
        <v>458</v>
      </c>
      <c r="V42" s="9">
        <f>4826-4359</f>
        <v>467</v>
      </c>
      <c r="W42" s="9">
        <f>4848-4372</f>
        <v>476</v>
      </c>
      <c r="X42" s="9">
        <f>4822-4312</f>
        <v>510</v>
      </c>
      <c r="Y42" s="9">
        <f>2185+2660-Y43</f>
        <v>483</v>
      </c>
      <c r="Z42" s="13">
        <f>4935-4456</f>
        <v>479</v>
      </c>
      <c r="AA42" s="9">
        <v>435</v>
      </c>
      <c r="AB42" s="9">
        <v>429</v>
      </c>
      <c r="AC42" s="9">
        <v>454</v>
      </c>
      <c r="AD42" s="9">
        <v>428</v>
      </c>
      <c r="AE42" s="9">
        <f>4261-3837</f>
        <v>424</v>
      </c>
      <c r="AF42" s="9">
        <v>444</v>
      </c>
      <c r="AG42" s="9">
        <v>418</v>
      </c>
      <c r="AH42" s="9">
        <v>430</v>
      </c>
      <c r="AI42" s="9">
        <v>448</v>
      </c>
      <c r="AJ42" s="9">
        <v>449</v>
      </c>
      <c r="AK42" s="9">
        <v>370</v>
      </c>
      <c r="AL42" s="13">
        <f>4080-3634</f>
        <v>446</v>
      </c>
      <c r="AM42" s="9">
        <f>4116-3709</f>
        <v>407</v>
      </c>
      <c r="AN42" s="9">
        <v>429</v>
      </c>
      <c r="AO42" s="9">
        <v>440</v>
      </c>
      <c r="AP42" s="9">
        <v>442</v>
      </c>
      <c r="AQ42" s="9">
        <v>401</v>
      </c>
      <c r="AR42" s="9">
        <v>410</v>
      </c>
      <c r="AS42" s="9">
        <v>381</v>
      </c>
      <c r="AT42" s="9">
        <v>395</v>
      </c>
      <c r="AU42" s="9">
        <v>372</v>
      </c>
      <c r="AV42" s="9">
        <v>342</v>
      </c>
      <c r="AW42" s="9">
        <v>343</v>
      </c>
      <c r="AX42" s="13">
        <v>375</v>
      </c>
      <c r="AY42" s="9">
        <v>377</v>
      </c>
      <c r="AZ42" s="9">
        <v>373</v>
      </c>
      <c r="BA42" s="9">
        <v>360</v>
      </c>
      <c r="BB42" s="9">
        <v>331</v>
      </c>
      <c r="BC42" s="9">
        <v>321</v>
      </c>
      <c r="BD42" s="9">
        <v>343</v>
      </c>
      <c r="BE42" s="9">
        <v>300</v>
      </c>
      <c r="BF42" s="9">
        <v>288</v>
      </c>
      <c r="BG42" s="9">
        <v>309</v>
      </c>
      <c r="BH42" s="9">
        <v>294</v>
      </c>
      <c r="BI42" s="9">
        <v>278</v>
      </c>
      <c r="BJ42" s="13">
        <v>262</v>
      </c>
      <c r="BK42" s="9">
        <v>277</v>
      </c>
      <c r="BL42" s="9">
        <v>286</v>
      </c>
      <c r="BM42" s="9">
        <v>297</v>
      </c>
      <c r="BN42" s="9">
        <v>310</v>
      </c>
      <c r="BO42" s="9">
        <v>311</v>
      </c>
      <c r="BP42" s="9">
        <v>308</v>
      </c>
      <c r="BQ42" s="9">
        <v>304</v>
      </c>
      <c r="BR42" s="9">
        <v>315</v>
      </c>
      <c r="BS42" s="9">
        <v>350</v>
      </c>
      <c r="BT42" s="9">
        <v>329</v>
      </c>
      <c r="BU42" s="9">
        <v>329</v>
      </c>
      <c r="BV42" s="13">
        <v>325</v>
      </c>
      <c r="BW42" s="9">
        <v>325</v>
      </c>
      <c r="BX42" s="9">
        <v>327</v>
      </c>
      <c r="BY42" s="9">
        <v>348</v>
      </c>
      <c r="BZ42" s="9">
        <v>338</v>
      </c>
      <c r="CA42" s="9">
        <v>348</v>
      </c>
      <c r="CB42" s="9">
        <v>355</v>
      </c>
      <c r="CC42" s="9">
        <v>353</v>
      </c>
      <c r="CD42" s="9">
        <v>390</v>
      </c>
      <c r="CE42" s="9">
        <v>367</v>
      </c>
      <c r="CF42" s="9">
        <v>346</v>
      </c>
      <c r="CG42" s="9">
        <v>346</v>
      </c>
      <c r="CH42" s="13">
        <v>347</v>
      </c>
      <c r="CI42" s="9">
        <v>349</v>
      </c>
      <c r="CJ42" s="9">
        <v>328</v>
      </c>
      <c r="CK42" s="9">
        <v>327</v>
      </c>
      <c r="CL42" s="9">
        <v>321</v>
      </c>
      <c r="CM42" s="9">
        <v>321</v>
      </c>
      <c r="CN42" s="9">
        <v>334</v>
      </c>
      <c r="CO42" s="9">
        <v>348</v>
      </c>
      <c r="CP42" s="9">
        <v>342</v>
      </c>
      <c r="CQ42" s="9">
        <v>405</v>
      </c>
      <c r="CR42" s="9">
        <v>459</v>
      </c>
      <c r="CS42" s="9">
        <v>535</v>
      </c>
      <c r="CT42" s="13">
        <v>592</v>
      </c>
      <c r="CU42" s="9">
        <v>542</v>
      </c>
      <c r="CV42" s="9">
        <v>500</v>
      </c>
      <c r="CW42" s="9">
        <v>509</v>
      </c>
      <c r="CX42" s="9">
        <v>511</v>
      </c>
      <c r="CY42" s="9">
        <v>506</v>
      </c>
      <c r="CZ42" s="9">
        <v>525</v>
      </c>
      <c r="DA42" s="9">
        <v>556</v>
      </c>
      <c r="DB42" s="9">
        <v>486</v>
      </c>
      <c r="DC42" s="9">
        <v>474</v>
      </c>
      <c r="DD42" s="9">
        <v>540</v>
      </c>
      <c r="DE42" s="9">
        <v>573</v>
      </c>
      <c r="DF42" s="13">
        <v>580</v>
      </c>
      <c r="DG42" s="9">
        <v>525</v>
      </c>
      <c r="DH42" s="9">
        <v>515</v>
      </c>
      <c r="DI42" s="9">
        <v>545</v>
      </c>
      <c r="DJ42" s="9">
        <v>525</v>
      </c>
      <c r="DK42" s="9">
        <v>519</v>
      </c>
      <c r="DL42" s="9">
        <v>531</v>
      </c>
      <c r="DM42" s="9">
        <v>564</v>
      </c>
      <c r="DN42" s="9">
        <v>500</v>
      </c>
      <c r="DO42" s="9">
        <v>516</v>
      </c>
      <c r="DP42" s="9">
        <v>561</v>
      </c>
      <c r="DQ42" s="9">
        <v>608</v>
      </c>
      <c r="DR42" s="13">
        <v>587</v>
      </c>
      <c r="DS42" s="9">
        <v>501</v>
      </c>
      <c r="DT42" s="9">
        <v>495</v>
      </c>
      <c r="DU42" s="9">
        <v>515</v>
      </c>
      <c r="DV42" s="9">
        <v>518</v>
      </c>
      <c r="DW42" s="9">
        <v>489</v>
      </c>
      <c r="DX42" s="9">
        <v>497</v>
      </c>
      <c r="DY42" s="9">
        <v>549</v>
      </c>
      <c r="DZ42" s="9">
        <v>445</v>
      </c>
      <c r="EA42" s="9">
        <v>437</v>
      </c>
      <c r="EB42" s="9">
        <v>421</v>
      </c>
      <c r="EC42" s="9">
        <v>497</v>
      </c>
      <c r="ED42" s="13">
        <v>476</v>
      </c>
      <c r="EE42" s="9">
        <v>447</v>
      </c>
      <c r="EF42" s="9">
        <v>449</v>
      </c>
      <c r="EG42" s="9">
        <v>503</v>
      </c>
      <c r="EH42" s="9">
        <v>540</v>
      </c>
      <c r="EI42" s="9">
        <v>545</v>
      </c>
      <c r="EJ42" s="9">
        <v>595</v>
      </c>
      <c r="EK42" s="9">
        <v>610</v>
      </c>
      <c r="EL42" s="9">
        <v>513</v>
      </c>
      <c r="EM42" s="9">
        <v>565</v>
      </c>
      <c r="EN42" s="9">
        <v>618</v>
      </c>
      <c r="EO42" s="9">
        <v>642</v>
      </c>
      <c r="EP42" s="13">
        <v>595</v>
      </c>
      <c r="EQ42" s="9">
        <v>545</v>
      </c>
      <c r="ER42" s="9">
        <v>596</v>
      </c>
      <c r="ES42" s="9">
        <v>628</v>
      </c>
      <c r="ET42" s="9">
        <v>651</v>
      </c>
      <c r="EU42" s="9">
        <v>598</v>
      </c>
      <c r="EV42" s="9">
        <v>677</v>
      </c>
      <c r="EW42" s="9">
        <v>727</v>
      </c>
      <c r="EX42" s="9">
        <v>647</v>
      </c>
      <c r="EY42" s="9">
        <v>651</v>
      </c>
      <c r="EZ42" s="9">
        <v>679</v>
      </c>
      <c r="FA42" s="9">
        <v>749</v>
      </c>
      <c r="FB42" s="13">
        <v>732</v>
      </c>
      <c r="FC42" s="9">
        <v>676</v>
      </c>
      <c r="FD42" s="36">
        <v>654</v>
      </c>
      <c r="FE42" s="33">
        <v>749</v>
      </c>
      <c r="FF42" s="33">
        <v>645</v>
      </c>
      <c r="FG42" s="36">
        <v>638</v>
      </c>
      <c r="FH42" s="36">
        <v>684</v>
      </c>
      <c r="FI42" s="36">
        <v>703</v>
      </c>
      <c r="FJ42" s="36">
        <v>590</v>
      </c>
      <c r="FK42" s="36">
        <v>649</v>
      </c>
      <c r="FL42" s="1">
        <v>631</v>
      </c>
      <c r="FM42" s="1">
        <v>711</v>
      </c>
      <c r="FN42" s="6">
        <v>660</v>
      </c>
      <c r="FO42" s="1">
        <v>615</v>
      </c>
      <c r="FP42" s="1">
        <v>631</v>
      </c>
      <c r="FQ42" s="1">
        <v>647</v>
      </c>
      <c r="FR42" s="1">
        <v>770</v>
      </c>
      <c r="FS42" s="1">
        <v>907</v>
      </c>
      <c r="FT42" s="1">
        <v>847</v>
      </c>
      <c r="FU42" s="1">
        <v>1030</v>
      </c>
      <c r="FV42" s="1">
        <v>980</v>
      </c>
      <c r="FW42" s="1">
        <v>999</v>
      </c>
      <c r="FX42" s="1">
        <v>1132</v>
      </c>
      <c r="FY42" s="1">
        <v>1306</v>
      </c>
      <c r="FZ42" s="1">
        <v>1307</v>
      </c>
      <c r="GA42" s="48">
        <v>1214</v>
      </c>
      <c r="GB42" s="1">
        <v>1161</v>
      </c>
      <c r="GC42" s="1">
        <v>1174</v>
      </c>
      <c r="GD42" s="1">
        <v>1166</v>
      </c>
      <c r="GE42" s="1">
        <v>1224</v>
      </c>
      <c r="GF42" s="1">
        <v>1216</v>
      </c>
      <c r="GG42" s="1">
        <v>1274</v>
      </c>
      <c r="GH42" s="1">
        <v>1168</v>
      </c>
      <c r="GI42" s="1">
        <v>1162</v>
      </c>
      <c r="GJ42" s="1">
        <v>1166</v>
      </c>
      <c r="GK42" s="1">
        <v>1279</v>
      </c>
      <c r="GL42" s="1">
        <v>1277</v>
      </c>
      <c r="GM42" s="48">
        <v>1095</v>
      </c>
      <c r="GN42" s="1">
        <v>978</v>
      </c>
      <c r="GO42" s="1">
        <v>1083</v>
      </c>
      <c r="GP42" s="1">
        <v>1098</v>
      </c>
      <c r="GQ42" s="1">
        <v>1105</v>
      </c>
      <c r="GR42" s="1">
        <v>1228</v>
      </c>
      <c r="GS42" s="1">
        <v>1381</v>
      </c>
      <c r="GT42" s="1">
        <v>1139</v>
      </c>
      <c r="GU42" s="1">
        <f>3259-GU39-GU40-GU41</f>
        <v>1166</v>
      </c>
      <c r="GV42" s="1">
        <v>1252</v>
      </c>
      <c r="GW42" s="1">
        <v>1397</v>
      </c>
      <c r="GX42" s="6">
        <f>3608-GX39-GX40-GX41</f>
        <v>1415</v>
      </c>
      <c r="GY42" s="1">
        <v>1240</v>
      </c>
      <c r="GZ42" s="1">
        <v>1157</v>
      </c>
      <c r="HA42" s="1">
        <v>1208</v>
      </c>
      <c r="HB42" s="1">
        <v>1187</v>
      </c>
      <c r="HC42" s="1">
        <v>1137</v>
      </c>
      <c r="HD42" s="1">
        <v>1130</v>
      </c>
      <c r="HE42" s="1">
        <v>1098</v>
      </c>
      <c r="HF42" s="1">
        <v>1011</v>
      </c>
      <c r="HG42" s="1">
        <v>1093</v>
      </c>
      <c r="HH42" s="1">
        <v>1126</v>
      </c>
      <c r="HI42" s="1">
        <v>1254</v>
      </c>
      <c r="HJ42" s="1">
        <v>1202</v>
      </c>
      <c r="HK42" s="48">
        <v>1019</v>
      </c>
      <c r="HL42" s="1">
        <v>1024</v>
      </c>
      <c r="HM42" s="1">
        <v>1057</v>
      </c>
      <c r="HN42" s="1">
        <v>953</v>
      </c>
      <c r="HO42" s="1">
        <v>944</v>
      </c>
      <c r="HP42" s="1">
        <v>984</v>
      </c>
      <c r="HQ42" s="1">
        <v>971</v>
      </c>
      <c r="HR42" s="1">
        <v>785</v>
      </c>
      <c r="HS42" s="1">
        <v>911</v>
      </c>
      <c r="HT42" s="1">
        <v>962</v>
      </c>
      <c r="HU42" s="1">
        <v>1040</v>
      </c>
      <c r="HV42" s="1">
        <v>971</v>
      </c>
      <c r="HW42" s="48">
        <v>920</v>
      </c>
      <c r="HX42" s="1">
        <v>901</v>
      </c>
      <c r="HY42" s="1">
        <v>919</v>
      </c>
      <c r="HZ42" s="1">
        <f>2240-HZ39-HZ40-HZ41</f>
        <v>874</v>
      </c>
      <c r="IA42" s="1">
        <v>833</v>
      </c>
      <c r="IB42" s="1">
        <v>932</v>
      </c>
      <c r="IC42" s="1">
        <v>1026</v>
      </c>
      <c r="ID42" s="1">
        <v>927</v>
      </c>
      <c r="IE42" s="1">
        <v>922</v>
      </c>
      <c r="IF42" s="1">
        <v>1004</v>
      </c>
      <c r="IG42" s="1">
        <v>1160</v>
      </c>
      <c r="IH42" s="1">
        <v>1038</v>
      </c>
      <c r="II42" s="48">
        <v>1003</v>
      </c>
      <c r="IJ42" s="1">
        <v>1095</v>
      </c>
      <c r="IK42" s="1">
        <f>2421-IK39-IK40-IK41</f>
        <v>1105</v>
      </c>
      <c r="IL42" s="1">
        <v>1144</v>
      </c>
      <c r="IM42" s="1">
        <v>1131</v>
      </c>
      <c r="IN42" s="1">
        <v>1209</v>
      </c>
      <c r="IO42" s="1">
        <v>1242</v>
      </c>
      <c r="IP42" s="1">
        <f>2386-IP39-IP40-IP41</f>
        <v>1070</v>
      </c>
      <c r="IQ42" s="1">
        <v>1100</v>
      </c>
      <c r="IR42" s="1">
        <v>1217</v>
      </c>
      <c r="IS42" s="1">
        <v>1368</v>
      </c>
      <c r="IT42" s="6">
        <v>1420</v>
      </c>
      <c r="IU42" s="1">
        <v>1312</v>
      </c>
      <c r="IV42" s="1">
        <v>1262</v>
      </c>
      <c r="IW42" s="1">
        <v>1334</v>
      </c>
      <c r="IX42" s="1">
        <f>2786-IX39-IX40-IX41</f>
        <v>1241</v>
      </c>
      <c r="IY42" s="1">
        <v>1233</v>
      </c>
      <c r="IZ42" s="1">
        <v>1294</v>
      </c>
      <c r="JA42" s="1">
        <v>1358</v>
      </c>
      <c r="JB42" s="1">
        <v>1223</v>
      </c>
      <c r="JC42" s="1">
        <v>1254</v>
      </c>
      <c r="JD42" s="1">
        <v>1479</v>
      </c>
      <c r="JE42" s="1">
        <v>1536</v>
      </c>
      <c r="JF42" s="1">
        <v>1465</v>
      </c>
      <c r="JG42" s="48">
        <v>1447</v>
      </c>
      <c r="JH42" s="1">
        <v>1378</v>
      </c>
      <c r="JI42" s="1">
        <v>1463</v>
      </c>
    </row>
    <row r="43" spans="1:269" ht="13.5" x14ac:dyDescent="0.25">
      <c r="A43" s="1" t="s">
        <v>14</v>
      </c>
      <c r="B43" s="1">
        <v>32</v>
      </c>
      <c r="C43" s="9">
        <v>5327</v>
      </c>
      <c r="D43" s="9">
        <v>5242</v>
      </c>
      <c r="E43" s="9">
        <v>5037</v>
      </c>
      <c r="F43" s="9">
        <v>4785</v>
      </c>
      <c r="G43" s="9">
        <v>4560</v>
      </c>
      <c r="H43" s="9">
        <v>4413</v>
      </c>
      <c r="I43" s="9">
        <v>4462</v>
      </c>
      <c r="J43" s="9">
        <v>4648</v>
      </c>
      <c r="K43" s="9">
        <v>4506</v>
      </c>
      <c r="L43" s="9">
        <v>4333</v>
      </c>
      <c r="M43" s="9">
        <v>4333</v>
      </c>
      <c r="N43" s="13">
        <v>4803</v>
      </c>
      <c r="O43" s="9">
        <v>4848</v>
      </c>
      <c r="P43" s="9">
        <v>4877</v>
      </c>
      <c r="Q43" s="9">
        <v>4741</v>
      </c>
      <c r="R43" s="9">
        <v>4473</v>
      </c>
      <c r="S43" s="9">
        <v>4368</v>
      </c>
      <c r="T43" s="9">
        <v>4228</v>
      </c>
      <c r="U43" s="9">
        <f>4251+2</f>
        <v>4253</v>
      </c>
      <c r="V43" s="9">
        <v>4360</v>
      </c>
      <c r="W43" s="9">
        <v>4372</v>
      </c>
      <c r="X43" s="9">
        <v>4312</v>
      </c>
      <c r="Y43" s="9">
        <v>4362</v>
      </c>
      <c r="Z43" s="13">
        <v>4457</v>
      </c>
      <c r="AA43" s="9">
        <v>4597</v>
      </c>
      <c r="AB43" s="9">
        <v>4487</v>
      </c>
      <c r="AC43" s="9">
        <v>4306</v>
      </c>
      <c r="AD43" s="9">
        <f>AD4</f>
        <v>4096</v>
      </c>
      <c r="AE43" s="9">
        <v>3837</v>
      </c>
      <c r="AF43" s="9">
        <v>3660</v>
      </c>
      <c r="AG43" s="9">
        <v>3676</v>
      </c>
      <c r="AH43" s="9">
        <v>3641</v>
      </c>
      <c r="AI43" s="9">
        <v>3606</v>
      </c>
      <c r="AJ43" s="9">
        <v>3501</v>
      </c>
      <c r="AK43" s="9">
        <v>3444</v>
      </c>
      <c r="AL43" s="13">
        <v>3634</v>
      </c>
      <c r="AM43" s="9">
        <v>3711</v>
      </c>
      <c r="AN43" s="9">
        <v>3602</v>
      </c>
      <c r="AO43" s="9">
        <v>3441</v>
      </c>
      <c r="AP43" s="9">
        <v>3233</v>
      </c>
      <c r="AQ43" s="9">
        <v>3182</v>
      </c>
      <c r="AR43" s="9">
        <v>3050</v>
      </c>
      <c r="AS43" s="9">
        <v>3116</v>
      </c>
      <c r="AT43" s="9">
        <v>3191</v>
      </c>
      <c r="AU43" s="9">
        <v>3039</v>
      </c>
      <c r="AV43" s="9">
        <v>2978</v>
      </c>
      <c r="AW43" s="9">
        <v>3104</v>
      </c>
      <c r="AX43" s="13">
        <v>3253</v>
      </c>
      <c r="AY43" s="9">
        <v>3309</v>
      </c>
      <c r="AZ43" s="9">
        <v>3120</v>
      </c>
      <c r="BA43" s="9">
        <v>3019</v>
      </c>
      <c r="BB43" s="9">
        <v>3063</v>
      </c>
      <c r="BC43" s="9">
        <v>2779</v>
      </c>
      <c r="BD43" s="9">
        <v>2630</v>
      </c>
      <c r="BE43" s="9">
        <v>2763</v>
      </c>
      <c r="BF43" s="9">
        <v>2804</v>
      </c>
      <c r="BG43" s="9">
        <v>2824</v>
      </c>
      <c r="BH43" s="9">
        <v>2888</v>
      </c>
      <c r="BI43" s="9">
        <v>3176</v>
      </c>
      <c r="BJ43" s="13">
        <v>3651</v>
      </c>
      <c r="BK43" s="9">
        <v>4040</v>
      </c>
      <c r="BL43" s="9">
        <v>4313</v>
      </c>
      <c r="BM43" s="9">
        <v>4534</v>
      </c>
      <c r="BN43" s="9">
        <v>4654</v>
      </c>
      <c r="BO43" s="9">
        <v>4767</v>
      </c>
      <c r="BP43" s="9">
        <v>5176</v>
      </c>
      <c r="BQ43" s="9">
        <v>5403</v>
      </c>
      <c r="BR43" s="9">
        <v>5488</v>
      </c>
      <c r="BS43" s="9">
        <v>5550</v>
      </c>
      <c r="BT43" s="9">
        <v>5659</v>
      </c>
      <c r="BU43" s="9">
        <v>5783</v>
      </c>
      <c r="BV43" s="13">
        <v>6132</v>
      </c>
      <c r="BW43" s="9">
        <v>6111</v>
      </c>
      <c r="BX43" s="9">
        <v>6002</v>
      </c>
      <c r="BY43" s="9">
        <v>5755</v>
      </c>
      <c r="BZ43" s="9">
        <v>5399</v>
      </c>
      <c r="CA43" s="9">
        <v>5103</v>
      </c>
      <c r="CB43" s="9">
        <v>4856</v>
      </c>
      <c r="CC43" s="9">
        <v>4752</v>
      </c>
      <c r="CD43" s="9">
        <v>4671</v>
      </c>
      <c r="CE43" s="9">
        <v>4288</v>
      </c>
      <c r="CF43" s="9">
        <v>4298</v>
      </c>
      <c r="CG43" s="9">
        <v>4178</v>
      </c>
      <c r="CH43" s="13">
        <v>4374</v>
      </c>
      <c r="CI43" s="9">
        <v>4377</v>
      </c>
      <c r="CJ43" s="9">
        <v>4146</v>
      </c>
      <c r="CK43" s="9">
        <v>3860</v>
      </c>
      <c r="CL43" s="9">
        <v>3495</v>
      </c>
      <c r="CM43" s="9">
        <v>3109</v>
      </c>
      <c r="CN43" s="9">
        <v>3070</v>
      </c>
      <c r="CO43" s="9">
        <v>3043</v>
      </c>
      <c r="CP43" s="9">
        <v>3222</v>
      </c>
      <c r="CQ43" s="9">
        <v>3104</v>
      </c>
      <c r="CR43" s="9">
        <v>3081</v>
      </c>
      <c r="CS43" s="9">
        <v>3266</v>
      </c>
      <c r="CT43" s="13">
        <v>3568</v>
      </c>
      <c r="CU43" s="9">
        <v>3631</v>
      </c>
      <c r="CV43" s="9">
        <v>3646</v>
      </c>
      <c r="CW43" s="9">
        <v>3422</v>
      </c>
      <c r="CX43" s="9">
        <v>3306</v>
      </c>
      <c r="CY43" s="9">
        <v>3231</v>
      </c>
      <c r="CZ43" s="9">
        <v>3177</v>
      </c>
      <c r="DA43" s="9">
        <v>3264</v>
      </c>
      <c r="DB43" s="9">
        <v>3446</v>
      </c>
      <c r="DC43" s="9">
        <v>3428</v>
      </c>
      <c r="DD43" s="9">
        <v>3501</v>
      </c>
      <c r="DE43" s="9">
        <v>3817</v>
      </c>
      <c r="DF43" s="13">
        <v>4203</v>
      </c>
      <c r="DG43" s="9">
        <v>4444</v>
      </c>
      <c r="DH43" s="9">
        <v>4397</v>
      </c>
      <c r="DI43" s="9">
        <v>4132</v>
      </c>
      <c r="DJ43" s="9">
        <v>3934</v>
      </c>
      <c r="DK43" s="9">
        <v>3810</v>
      </c>
      <c r="DL43" s="9">
        <v>3651</v>
      </c>
      <c r="DM43" s="9">
        <v>3673</v>
      </c>
      <c r="DN43" s="9">
        <v>3683</v>
      </c>
      <c r="DO43" s="9">
        <v>3542</v>
      </c>
      <c r="DP43" s="9">
        <v>3593</v>
      </c>
      <c r="DQ43" s="9">
        <v>3756</v>
      </c>
      <c r="DR43" s="13">
        <v>3998</v>
      </c>
      <c r="DS43" s="9">
        <v>4025</v>
      </c>
      <c r="DT43" s="9">
        <v>3985</v>
      </c>
      <c r="DU43" s="9">
        <v>3819</v>
      </c>
      <c r="DV43" s="9">
        <v>3635</v>
      </c>
      <c r="DW43" s="9">
        <v>3475</v>
      </c>
      <c r="DX43" s="9">
        <v>3375</v>
      </c>
      <c r="DY43" s="9">
        <v>3386</v>
      </c>
      <c r="DZ43" s="9">
        <v>3359</v>
      </c>
      <c r="EA43" s="9">
        <v>3292</v>
      </c>
      <c r="EB43" s="9">
        <v>3258</v>
      </c>
      <c r="EC43" s="9">
        <v>3351</v>
      </c>
      <c r="ED43" s="13">
        <v>3728</v>
      </c>
      <c r="EE43" s="9">
        <v>3778</v>
      </c>
      <c r="EF43" s="9">
        <v>3788</v>
      </c>
      <c r="EG43" s="9">
        <v>3719</v>
      </c>
      <c r="EH43" s="9">
        <v>3685</v>
      </c>
      <c r="EI43" s="9">
        <v>3562</v>
      </c>
      <c r="EJ43" s="9">
        <v>3589</v>
      </c>
      <c r="EK43" s="9">
        <v>3753</v>
      </c>
      <c r="EL43" s="9">
        <v>3891</v>
      </c>
      <c r="EM43" s="9">
        <v>3805</v>
      </c>
      <c r="EN43" s="9">
        <v>3853</v>
      </c>
      <c r="EO43" s="9">
        <v>4107</v>
      </c>
      <c r="EP43" s="13">
        <v>4601</v>
      </c>
      <c r="EQ43" s="9">
        <v>4632</v>
      </c>
      <c r="ER43" s="9">
        <v>4554</v>
      </c>
      <c r="ES43" s="9">
        <v>4450</v>
      </c>
      <c r="ET43" s="9">
        <v>4281</v>
      </c>
      <c r="EU43" s="9">
        <v>4189</v>
      </c>
      <c r="EV43" s="9">
        <v>4013</v>
      </c>
      <c r="EW43" s="9">
        <v>3963</v>
      </c>
      <c r="EX43" s="9">
        <v>4182</v>
      </c>
      <c r="EY43" s="9">
        <v>4220</v>
      </c>
      <c r="EZ43" s="9">
        <v>4232</v>
      </c>
      <c r="FA43" s="9">
        <v>4380</v>
      </c>
      <c r="FB43" s="13">
        <v>4679</v>
      </c>
      <c r="FC43" s="9">
        <v>4744</v>
      </c>
      <c r="FD43" s="36">
        <v>4602</v>
      </c>
      <c r="FE43" s="33">
        <v>4420</v>
      </c>
      <c r="FF43" s="33">
        <v>4281</v>
      </c>
      <c r="FG43" s="36">
        <v>4074</v>
      </c>
      <c r="FH43" s="36">
        <v>3860</v>
      </c>
      <c r="FI43" s="36">
        <v>3900</v>
      </c>
      <c r="FJ43" s="36">
        <v>3953</v>
      </c>
      <c r="FK43" s="36">
        <v>3801</v>
      </c>
      <c r="FL43" s="1">
        <v>3782</v>
      </c>
      <c r="FM43" s="1">
        <v>3869</v>
      </c>
      <c r="FN43" s="6">
        <v>4193</v>
      </c>
      <c r="FO43" s="1">
        <v>4160</v>
      </c>
      <c r="FP43" s="1">
        <v>4052</v>
      </c>
      <c r="FQ43" s="1">
        <v>4095</v>
      </c>
      <c r="FR43" s="1">
        <v>3633</v>
      </c>
      <c r="FS43" s="1">
        <v>3265</v>
      </c>
      <c r="FT43" s="1">
        <v>3088</v>
      </c>
      <c r="FU43" s="1">
        <v>2991</v>
      </c>
      <c r="FV43" s="1">
        <v>3048</v>
      </c>
      <c r="FW43" s="1">
        <v>2996</v>
      </c>
      <c r="FX43" s="1">
        <v>2865</v>
      </c>
      <c r="FY43" s="1">
        <v>2885</v>
      </c>
      <c r="FZ43" s="1">
        <v>3113</v>
      </c>
      <c r="GA43" s="48">
        <v>3218</v>
      </c>
      <c r="GB43" s="1">
        <v>3133</v>
      </c>
      <c r="GC43" s="1">
        <v>2977</v>
      </c>
      <c r="GD43" s="1">
        <v>2744</v>
      </c>
      <c r="GE43" s="1">
        <v>2610</v>
      </c>
      <c r="GF43" s="1">
        <v>2531</v>
      </c>
      <c r="GG43" s="1">
        <v>2540</v>
      </c>
      <c r="GH43" s="1">
        <v>2629</v>
      </c>
      <c r="GI43" s="1">
        <v>2683</v>
      </c>
      <c r="GJ43" s="1">
        <v>2761</v>
      </c>
      <c r="GK43" s="1">
        <v>2900</v>
      </c>
      <c r="GL43" s="1">
        <v>3199</v>
      </c>
      <c r="GM43" s="48">
        <v>3405</v>
      </c>
      <c r="GN43" s="1">
        <v>3408</v>
      </c>
      <c r="GO43" s="1">
        <v>3858</v>
      </c>
      <c r="GP43" s="1">
        <v>4304</v>
      </c>
      <c r="GQ43" s="1">
        <v>4446</v>
      </c>
      <c r="GR43" s="1">
        <v>4366</v>
      </c>
      <c r="GS43" s="1">
        <v>4393</v>
      </c>
      <c r="GT43" s="1">
        <v>4675</v>
      </c>
      <c r="GU43" s="1">
        <v>4581</v>
      </c>
      <c r="GV43" s="1">
        <v>4558</v>
      </c>
      <c r="GW43" s="1">
        <v>4560</v>
      </c>
      <c r="GX43" s="6">
        <v>4951</v>
      </c>
      <c r="GY43" s="1">
        <v>5246</v>
      </c>
      <c r="GZ43" s="1">
        <v>5243</v>
      </c>
      <c r="HA43" s="1">
        <v>4877</v>
      </c>
      <c r="HB43" s="1">
        <v>4672</v>
      </c>
      <c r="HC43" s="1">
        <v>4432</v>
      </c>
      <c r="HD43" s="1">
        <v>4215</v>
      </c>
      <c r="HE43" s="1">
        <v>4085</v>
      </c>
      <c r="HF43" s="1">
        <v>4077</v>
      </c>
      <c r="HG43" s="1">
        <v>3875</v>
      </c>
      <c r="HH43" s="1">
        <v>3741</v>
      </c>
      <c r="HI43" s="1">
        <v>3780</v>
      </c>
      <c r="HJ43" s="1">
        <v>4023</v>
      </c>
      <c r="HK43" s="48">
        <v>4081</v>
      </c>
      <c r="HL43" s="1">
        <v>4008</v>
      </c>
      <c r="HM43" s="1">
        <v>3762</v>
      </c>
      <c r="HN43" s="1">
        <v>3574</v>
      </c>
      <c r="HO43" s="1">
        <v>3267</v>
      </c>
      <c r="HP43" s="1">
        <v>3068</v>
      </c>
      <c r="HQ43" s="1">
        <v>3069</v>
      </c>
      <c r="HR43" s="1">
        <v>3087</v>
      </c>
      <c r="HS43" s="1">
        <v>2878</v>
      </c>
      <c r="HT43" s="1">
        <v>2787</v>
      </c>
      <c r="HU43" s="1">
        <v>2814</v>
      </c>
      <c r="HV43" s="1">
        <v>3074</v>
      </c>
      <c r="HW43" s="48">
        <v>3149</v>
      </c>
      <c r="HX43" s="1">
        <v>3107</v>
      </c>
      <c r="HY43" s="1">
        <v>2984</v>
      </c>
      <c r="HZ43" s="1">
        <v>2870</v>
      </c>
      <c r="IA43" s="1">
        <v>2792</v>
      </c>
      <c r="IB43" s="1">
        <v>2642</v>
      </c>
      <c r="IC43" s="1">
        <v>2731</v>
      </c>
      <c r="ID43" s="1">
        <v>2855</v>
      </c>
      <c r="IE43" s="1">
        <v>2817</v>
      </c>
      <c r="IF43" s="1">
        <v>2815</v>
      </c>
      <c r="IG43" s="1">
        <v>2963</v>
      </c>
      <c r="IH43" s="1">
        <v>3295</v>
      </c>
      <c r="II43" s="48">
        <v>3460</v>
      </c>
      <c r="IJ43" s="1">
        <v>3368</v>
      </c>
      <c r="IK43" s="1">
        <v>3306</v>
      </c>
      <c r="IL43" s="1">
        <v>3259</v>
      </c>
      <c r="IM43" s="1">
        <v>3282</v>
      </c>
      <c r="IN43" s="1">
        <v>3315</v>
      </c>
      <c r="IO43" s="1">
        <v>3486</v>
      </c>
      <c r="IP43" s="1">
        <v>3623</v>
      </c>
      <c r="IQ43" s="1">
        <v>3711</v>
      </c>
      <c r="IR43" s="1">
        <v>3822</v>
      </c>
      <c r="IS43" s="1">
        <v>3984</v>
      </c>
      <c r="IT43" s="6">
        <v>4343</v>
      </c>
      <c r="IU43" s="1">
        <v>4633</v>
      </c>
      <c r="IV43" s="1">
        <v>4676</v>
      </c>
      <c r="IW43" s="1">
        <v>4663</v>
      </c>
      <c r="IX43" s="1">
        <v>4510</v>
      </c>
      <c r="IY43" s="1">
        <v>4383</v>
      </c>
      <c r="IZ43" s="1">
        <v>4471</v>
      </c>
      <c r="JA43" s="1">
        <v>4531</v>
      </c>
      <c r="JB43" s="1">
        <v>4658</v>
      </c>
      <c r="JC43" s="1">
        <v>4618</v>
      </c>
      <c r="JD43" s="1">
        <v>4594</v>
      </c>
      <c r="JE43" s="1">
        <v>4644</v>
      </c>
      <c r="JF43" s="1">
        <v>4932</v>
      </c>
      <c r="JG43" s="48">
        <v>5213</v>
      </c>
      <c r="JH43" s="1">
        <v>5165</v>
      </c>
      <c r="JI43" s="1">
        <v>4894</v>
      </c>
    </row>
    <row r="44" spans="1:269" ht="13.5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3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3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3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13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13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13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13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13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13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13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13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13"/>
      <c r="EQ44" s="9"/>
      <c r="ER44" s="9"/>
      <c r="ES44" s="9"/>
      <c r="ET44" s="9"/>
      <c r="EU44" s="9"/>
      <c r="EV44" s="9"/>
      <c r="EW44" s="9"/>
      <c r="EZ44" s="9"/>
      <c r="FA44" s="9"/>
      <c r="FB44" s="13"/>
      <c r="FC44" s="9"/>
      <c r="FD44" s="36"/>
      <c r="FE44" s="33"/>
      <c r="FF44" s="33"/>
      <c r="FG44" s="36"/>
      <c r="FH44" s="36"/>
      <c r="FI44" s="36"/>
      <c r="FJ44" s="36"/>
      <c r="FK44" s="36"/>
      <c r="FN44" s="6"/>
      <c r="GA44" s="48"/>
      <c r="GM44" s="48"/>
      <c r="GX44" s="6"/>
      <c r="HJ44" s="6"/>
      <c r="HT44" s="1" t="s">
        <v>77</v>
      </c>
      <c r="HW44" s="48"/>
      <c r="HZ44" s="66"/>
      <c r="II44" s="48"/>
      <c r="IT44" s="6"/>
      <c r="JG44" s="48"/>
    </row>
    <row r="45" spans="1:269" ht="13.5" x14ac:dyDescent="0.25">
      <c r="A45" s="1" t="s">
        <v>15</v>
      </c>
      <c r="B45" s="1">
        <v>33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3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3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13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13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13"/>
      <c r="BK45" s="9">
        <v>70</v>
      </c>
      <c r="BL45" s="9">
        <v>38</v>
      </c>
      <c r="BM45" s="9">
        <v>41</v>
      </c>
      <c r="BN45" s="9">
        <v>44</v>
      </c>
      <c r="BO45" s="9">
        <v>35</v>
      </c>
      <c r="BP45" s="9">
        <v>43</v>
      </c>
      <c r="BQ45" s="9">
        <v>66</v>
      </c>
      <c r="BR45" s="9">
        <v>60</v>
      </c>
      <c r="BS45" s="9">
        <v>72</v>
      </c>
      <c r="BT45" s="9">
        <v>61</v>
      </c>
      <c r="BU45" s="9">
        <v>61</v>
      </c>
      <c r="BV45" s="13">
        <v>101</v>
      </c>
      <c r="BW45" s="9">
        <v>79</v>
      </c>
      <c r="BX45" s="9">
        <v>62</v>
      </c>
      <c r="BY45" s="9">
        <v>90</v>
      </c>
      <c r="BZ45" s="9">
        <v>89</v>
      </c>
      <c r="CA45" s="9">
        <v>63</v>
      </c>
      <c r="CB45" s="9">
        <v>80</v>
      </c>
      <c r="CC45" s="9">
        <v>81</v>
      </c>
      <c r="CD45" s="9">
        <v>98</v>
      </c>
      <c r="CE45" s="9">
        <v>67</v>
      </c>
      <c r="CF45" s="9">
        <v>80</v>
      </c>
      <c r="CG45" s="9">
        <v>104</v>
      </c>
      <c r="CH45" s="13">
        <v>117</v>
      </c>
      <c r="CI45" s="9">
        <v>85</v>
      </c>
      <c r="CJ45" s="9">
        <v>78</v>
      </c>
      <c r="CK45" s="9">
        <v>469</v>
      </c>
      <c r="CL45" s="9">
        <v>114</v>
      </c>
      <c r="CM45" s="9">
        <v>97</v>
      </c>
      <c r="CN45" s="9">
        <v>128</v>
      </c>
      <c r="CO45" s="9">
        <v>90</v>
      </c>
      <c r="CP45" s="9">
        <v>89</v>
      </c>
      <c r="CQ45" s="9">
        <v>94</v>
      </c>
      <c r="CR45" s="9">
        <v>71</v>
      </c>
      <c r="CS45" s="9">
        <v>84</v>
      </c>
      <c r="CT45" s="13">
        <v>92</v>
      </c>
      <c r="CU45" s="9">
        <v>80</v>
      </c>
      <c r="CV45" s="9">
        <v>86</v>
      </c>
      <c r="CW45" s="9">
        <v>81</v>
      </c>
      <c r="CX45" s="9">
        <v>69</v>
      </c>
      <c r="CY45" s="9">
        <v>80</v>
      </c>
      <c r="CZ45" s="9">
        <v>91</v>
      </c>
      <c r="DA45" s="9">
        <v>83</v>
      </c>
      <c r="DB45" s="9">
        <v>81</v>
      </c>
      <c r="DC45" s="9">
        <v>60</v>
      </c>
      <c r="DD45" s="9">
        <v>66</v>
      </c>
      <c r="DE45" s="9">
        <v>87</v>
      </c>
      <c r="DF45" s="13">
        <v>96</v>
      </c>
      <c r="DG45" s="9">
        <v>76</v>
      </c>
      <c r="DH45" s="9">
        <v>76</v>
      </c>
      <c r="DI45" s="9">
        <v>96</v>
      </c>
      <c r="DJ45" s="9">
        <v>94</v>
      </c>
      <c r="DK45" s="9">
        <v>111</v>
      </c>
      <c r="DL45" s="9">
        <v>94</v>
      </c>
      <c r="DM45" s="9">
        <v>91</v>
      </c>
      <c r="DN45" s="9">
        <v>96</v>
      </c>
      <c r="DO45" s="9">
        <v>71</v>
      </c>
      <c r="DP45" s="9">
        <v>97</v>
      </c>
      <c r="DQ45" s="9">
        <v>81</v>
      </c>
      <c r="DR45" s="13">
        <v>86</v>
      </c>
      <c r="DS45" s="9">
        <v>108</v>
      </c>
      <c r="DT45" s="9">
        <v>79</v>
      </c>
      <c r="DU45" s="9">
        <v>67</v>
      </c>
      <c r="DV45" s="9">
        <v>90</v>
      </c>
      <c r="DW45" s="9">
        <v>98</v>
      </c>
      <c r="DX45" s="9">
        <v>93</v>
      </c>
      <c r="DY45" s="9">
        <v>84</v>
      </c>
      <c r="DZ45" s="9">
        <v>71</v>
      </c>
      <c r="EA45" s="9">
        <v>75</v>
      </c>
      <c r="EB45" s="9">
        <v>83</v>
      </c>
      <c r="EC45" s="9">
        <v>87</v>
      </c>
      <c r="ED45" s="13">
        <v>109</v>
      </c>
      <c r="EE45" s="9">
        <v>91</v>
      </c>
      <c r="EF45" s="9">
        <v>82</v>
      </c>
      <c r="EG45" s="9">
        <v>86</v>
      </c>
      <c r="EH45" s="9">
        <v>86</v>
      </c>
      <c r="EI45" s="9">
        <v>88</v>
      </c>
      <c r="EJ45" s="9">
        <v>94</v>
      </c>
      <c r="EK45" s="9">
        <v>91</v>
      </c>
      <c r="EL45" s="9">
        <v>65</v>
      </c>
      <c r="EM45" s="9">
        <v>87</v>
      </c>
      <c r="EN45" s="9">
        <v>94</v>
      </c>
      <c r="EO45" s="9">
        <v>75</v>
      </c>
      <c r="EP45" s="13">
        <v>114</v>
      </c>
      <c r="EQ45" s="9">
        <v>86</v>
      </c>
      <c r="ER45" s="9">
        <v>119</v>
      </c>
      <c r="ES45" s="9">
        <v>110</v>
      </c>
      <c r="ET45" s="9">
        <v>96</v>
      </c>
      <c r="EU45" s="9">
        <v>119</v>
      </c>
      <c r="EV45" s="9">
        <v>113</v>
      </c>
      <c r="EW45" s="9">
        <v>83</v>
      </c>
      <c r="EX45" s="9">
        <v>108</v>
      </c>
      <c r="EY45" s="9">
        <v>88</v>
      </c>
      <c r="EZ45" s="9">
        <v>113</v>
      </c>
      <c r="FA45" s="9">
        <v>89</v>
      </c>
      <c r="FB45" s="13">
        <v>124</v>
      </c>
      <c r="FC45" s="9">
        <v>97</v>
      </c>
      <c r="FD45" s="36">
        <v>118</v>
      </c>
      <c r="FE45" s="33">
        <v>125</v>
      </c>
      <c r="FF45" s="33">
        <v>114</v>
      </c>
      <c r="FG45" s="36">
        <v>131</v>
      </c>
      <c r="FH45" s="36">
        <v>128</v>
      </c>
      <c r="FI45" s="36">
        <v>98</v>
      </c>
      <c r="FJ45" s="36">
        <v>119</v>
      </c>
      <c r="FK45" s="36">
        <v>109</v>
      </c>
      <c r="FL45" s="1">
        <v>68</v>
      </c>
      <c r="FM45" s="1">
        <v>112</v>
      </c>
      <c r="FN45" s="6">
        <v>116</v>
      </c>
      <c r="FO45" s="1">
        <v>116</v>
      </c>
      <c r="FP45" s="1">
        <v>76</v>
      </c>
      <c r="FQ45" s="1">
        <v>75</v>
      </c>
      <c r="FR45" s="1">
        <v>96</v>
      </c>
      <c r="FS45" s="1">
        <v>119</v>
      </c>
      <c r="FT45" s="1">
        <v>102</v>
      </c>
      <c r="FU45" s="1">
        <v>98</v>
      </c>
      <c r="FV45" s="1">
        <v>89</v>
      </c>
      <c r="FW45" s="1">
        <v>76</v>
      </c>
      <c r="FX45" s="1">
        <v>85</v>
      </c>
      <c r="FY45" s="1">
        <v>74</v>
      </c>
      <c r="FZ45" s="6">
        <v>73</v>
      </c>
      <c r="GA45" s="36">
        <v>93</v>
      </c>
      <c r="GB45" s="36">
        <v>78</v>
      </c>
      <c r="GC45" s="36">
        <v>73</v>
      </c>
      <c r="GD45" s="36">
        <v>103</v>
      </c>
      <c r="GE45" s="36">
        <v>72</v>
      </c>
      <c r="GF45" s="36">
        <v>76</v>
      </c>
      <c r="GG45" s="36">
        <v>88</v>
      </c>
      <c r="GH45" s="36">
        <v>71</v>
      </c>
      <c r="GI45" s="36">
        <v>49</v>
      </c>
      <c r="GJ45" s="36">
        <v>85</v>
      </c>
      <c r="GK45" s="36">
        <v>74</v>
      </c>
      <c r="GL45" s="36">
        <v>83</v>
      </c>
      <c r="GM45" s="55">
        <v>80</v>
      </c>
      <c r="GN45" s="36">
        <v>54</v>
      </c>
      <c r="GO45" s="36">
        <v>0</v>
      </c>
      <c r="GP45" s="36">
        <v>0</v>
      </c>
      <c r="GQ45" s="36">
        <v>0</v>
      </c>
      <c r="GR45" s="36">
        <v>0</v>
      </c>
      <c r="GS45" s="36">
        <v>0</v>
      </c>
      <c r="GT45" s="36">
        <v>12</v>
      </c>
      <c r="GU45" s="36">
        <v>44</v>
      </c>
      <c r="GV45" s="36">
        <v>59</v>
      </c>
      <c r="GW45" s="1">
        <v>70</v>
      </c>
      <c r="GX45" s="6">
        <v>65</v>
      </c>
      <c r="GY45" s="1">
        <v>102</v>
      </c>
      <c r="GZ45" s="1">
        <v>82</v>
      </c>
      <c r="HA45" s="1">
        <v>0</v>
      </c>
      <c r="HB45" s="1">
        <v>2</v>
      </c>
      <c r="HC45" s="1">
        <v>1</v>
      </c>
      <c r="HD45" s="1">
        <v>70</v>
      </c>
      <c r="HE45" s="1">
        <v>79</v>
      </c>
      <c r="HF45" s="1">
        <v>48</v>
      </c>
      <c r="HG45" s="1">
        <v>81</v>
      </c>
      <c r="HH45" s="1">
        <v>84</v>
      </c>
      <c r="HI45" s="1">
        <v>94</v>
      </c>
      <c r="HJ45" s="6">
        <v>81</v>
      </c>
      <c r="HK45" s="1">
        <v>66</v>
      </c>
      <c r="HL45" s="1">
        <v>52</v>
      </c>
      <c r="HM45" s="1">
        <v>89</v>
      </c>
      <c r="HN45" s="1">
        <v>88</v>
      </c>
      <c r="HO45" s="1">
        <v>75</v>
      </c>
      <c r="HP45" s="1">
        <v>97</v>
      </c>
      <c r="HQ45" s="1">
        <v>97</v>
      </c>
      <c r="HR45" s="1">
        <v>90</v>
      </c>
      <c r="HS45" s="1">
        <v>93</v>
      </c>
      <c r="HT45" s="1">
        <v>63</v>
      </c>
      <c r="HU45" s="1">
        <v>218</v>
      </c>
      <c r="HV45" s="1">
        <v>82</v>
      </c>
      <c r="HW45" s="48">
        <v>58</v>
      </c>
      <c r="HX45" s="1">
        <v>73</v>
      </c>
      <c r="HY45" s="1">
        <v>94</v>
      </c>
      <c r="HZ45" s="1">
        <v>76</v>
      </c>
      <c r="IA45" s="1">
        <v>125</v>
      </c>
      <c r="IB45" s="1">
        <v>57</v>
      </c>
      <c r="IC45" s="1">
        <v>40</v>
      </c>
      <c r="ID45" s="1">
        <v>73</v>
      </c>
      <c r="IE45" s="1">
        <v>59</v>
      </c>
      <c r="IF45" s="1">
        <v>56</v>
      </c>
      <c r="IG45" s="1">
        <v>65</v>
      </c>
      <c r="IH45" s="1">
        <v>42</v>
      </c>
      <c r="II45" s="48">
        <v>83</v>
      </c>
      <c r="IJ45" s="1">
        <v>53</v>
      </c>
      <c r="IK45" s="1">
        <v>70</v>
      </c>
      <c r="IL45" s="1">
        <v>58</v>
      </c>
      <c r="IM45" s="1">
        <v>70</v>
      </c>
      <c r="IN45" s="1">
        <v>58</v>
      </c>
      <c r="IO45" s="1">
        <v>80</v>
      </c>
      <c r="IP45" s="1">
        <v>81</v>
      </c>
      <c r="IQ45" s="1">
        <v>56</v>
      </c>
      <c r="IR45" s="1">
        <v>88</v>
      </c>
      <c r="IS45" s="1">
        <v>72</v>
      </c>
      <c r="IT45" s="1">
        <v>74</v>
      </c>
      <c r="IU45" s="48">
        <v>102</v>
      </c>
      <c r="IV45" s="1">
        <v>74</v>
      </c>
      <c r="IW45" s="1">
        <v>69</v>
      </c>
      <c r="IX45" s="1">
        <v>98</v>
      </c>
      <c r="IY45" s="1">
        <v>87</v>
      </c>
      <c r="IZ45" s="1">
        <v>77</v>
      </c>
      <c r="JA45" s="1">
        <v>107</v>
      </c>
      <c r="JB45" s="1">
        <v>94</v>
      </c>
      <c r="JC45" s="1">
        <v>92</v>
      </c>
      <c r="JD45" s="1">
        <v>106</v>
      </c>
      <c r="JE45" s="1">
        <v>87</v>
      </c>
      <c r="JF45" s="1">
        <v>96</v>
      </c>
      <c r="JG45" s="48">
        <v>90</v>
      </c>
    </row>
    <row r="46" spans="1:269" ht="14.25" x14ac:dyDescent="0.25">
      <c r="A46" s="2"/>
      <c r="B46" s="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3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3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3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13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13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13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13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13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13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13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13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13"/>
      <c r="EQ46" s="9"/>
      <c r="ER46" s="9"/>
      <c r="ES46" s="9"/>
      <c r="ET46" s="9"/>
      <c r="EU46" s="11"/>
      <c r="EV46" s="11"/>
      <c r="EW46" s="9"/>
      <c r="EX46" s="9"/>
      <c r="EY46" s="9"/>
      <c r="EZ46" s="9"/>
      <c r="FA46" s="9"/>
      <c r="FB46" s="13"/>
      <c r="FC46" s="9"/>
      <c r="FD46" s="36"/>
      <c r="FE46" s="36"/>
      <c r="FF46" s="33"/>
      <c r="FG46" s="36"/>
      <c r="FH46" s="36"/>
      <c r="FI46" s="36"/>
      <c r="FJ46" s="36"/>
      <c r="FK46" s="36"/>
      <c r="FN46" s="6"/>
      <c r="GA46" s="48"/>
      <c r="GM46" s="48"/>
      <c r="GX46" s="6"/>
      <c r="HJ46" s="6"/>
      <c r="HW46" s="48"/>
      <c r="II46" s="48"/>
      <c r="IT46" s="6"/>
      <c r="JG46" s="48"/>
    </row>
    <row r="47" spans="1:269" ht="14.25" x14ac:dyDescent="0.25">
      <c r="A47" s="16" t="s">
        <v>16</v>
      </c>
      <c r="B47" s="8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5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5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5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5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5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5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5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5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5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5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5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5"/>
      <c r="EQ47" s="11"/>
      <c r="ER47" s="11"/>
      <c r="ES47" s="11"/>
      <c r="ET47" s="11"/>
      <c r="EW47" s="11"/>
      <c r="EX47" s="9"/>
      <c r="EY47" s="9"/>
      <c r="EZ47" s="9"/>
      <c r="FA47" s="9"/>
      <c r="FB47" s="13"/>
      <c r="FC47" s="9"/>
      <c r="FD47" s="36"/>
      <c r="FE47" s="36"/>
      <c r="FF47" s="33"/>
      <c r="FG47" s="36"/>
      <c r="FH47" s="36"/>
      <c r="FI47" s="36"/>
      <c r="FJ47" s="36"/>
      <c r="FK47" s="36"/>
      <c r="FN47" s="6"/>
      <c r="GA47" s="48"/>
      <c r="GM47" s="48"/>
      <c r="GX47" s="6"/>
      <c r="HJ47" s="6"/>
      <c r="HW47" s="48"/>
      <c r="II47" s="48"/>
      <c r="IT47" s="6"/>
      <c r="JG47" s="48"/>
    </row>
    <row r="48" spans="1:269" ht="13.5" x14ac:dyDescent="0.25">
      <c r="A48" s="17" t="s">
        <v>17</v>
      </c>
      <c r="B48" s="1">
        <v>34</v>
      </c>
      <c r="C48" s="9">
        <f>SUM([4]Tabelle2!C4:C6)</f>
        <v>2076</v>
      </c>
      <c r="D48" s="9">
        <f>SUM([4]Tabelle2!D4:D6)</f>
        <v>1912</v>
      </c>
      <c r="E48" s="9">
        <f>SUM([4]Tabelle2!E4:E6)</f>
        <v>1856</v>
      </c>
      <c r="F48" s="9">
        <f>SUM([4]Tabelle2!F4:F6)</f>
        <v>1755</v>
      </c>
      <c r="G48" s="9">
        <f>SUM([4]Tabelle2!G4:G6)</f>
        <v>1560</v>
      </c>
      <c r="H48" s="9">
        <f>SUM([4]Tabelle2!H4:H6)</f>
        <v>1532</v>
      </c>
      <c r="I48" s="9">
        <f>SUM([4]Tabelle2!I4:I6)</f>
        <v>1734</v>
      </c>
      <c r="J48" s="9">
        <f>SUM([4]Tabelle2!J4:J6)</f>
        <v>1950</v>
      </c>
      <c r="K48" s="9">
        <f>SUM([4]Tabelle2!K4:K6)</f>
        <v>1971</v>
      </c>
      <c r="L48" s="9">
        <f>SUM([4]Tabelle2!L4:L6)</f>
        <v>1874</v>
      </c>
      <c r="M48" s="9">
        <f>SUM([4]Tabelle2!M4:M6)</f>
        <v>1918</v>
      </c>
      <c r="N48" s="13">
        <f>SUM([4]Tabelle2!N4:N6)</f>
        <v>2011</v>
      </c>
      <c r="O48" s="9">
        <f>SUM([4]Tabelle2!O4:O6)</f>
        <v>2032</v>
      </c>
      <c r="P48" s="9">
        <f>SUM([4]Tabelle2!P4:P6)</f>
        <v>1938</v>
      </c>
      <c r="Q48" s="9">
        <f>SUM([4]Tabelle2!Q4:Q6)</f>
        <v>1865</v>
      </c>
      <c r="R48" s="9">
        <f>SUM([4]Tabelle2!R4:R6)</f>
        <v>1800</v>
      </c>
      <c r="S48" s="9">
        <f>SUM([4]Tabelle2!S4:S6)</f>
        <v>1642</v>
      </c>
      <c r="T48" s="9">
        <f>SUM([4]Tabelle2!T4:T6)</f>
        <v>1666</v>
      </c>
      <c r="U48" s="9">
        <f>SUM([4]Tabelle2!U4:U6)</f>
        <v>1724</v>
      </c>
      <c r="V48" s="9">
        <f>SUM([4]Tabelle2!V4:V6)</f>
        <v>1957</v>
      </c>
      <c r="W48" s="9">
        <f>SUM([4]Tabelle2!W4:W6)</f>
        <v>2029</v>
      </c>
      <c r="X48" s="9">
        <f>SUM([4]Tabelle2!X4:X6)</f>
        <v>1900</v>
      </c>
      <c r="Y48" s="9">
        <f>SUM([4]Tabelle2!Y4:Y6)</f>
        <v>1881</v>
      </c>
      <c r="Z48" s="13">
        <f>SUM([4]Tabelle2!Z4:Z6)</f>
        <v>1809</v>
      </c>
      <c r="AA48" s="9">
        <f>SUM([4]Tabelle2!AA4:AA6)</f>
        <v>1848</v>
      </c>
      <c r="AB48" s="9">
        <f>SUM([4]Tabelle2!AB4:AB6)</f>
        <v>1739</v>
      </c>
      <c r="AC48" s="9">
        <f>SUM([4]Tabelle2!AC4:AC6)</f>
        <v>1804</v>
      </c>
      <c r="AD48" s="9">
        <f>417+609+580</f>
        <v>1606</v>
      </c>
      <c r="AE48" s="9">
        <v>1487</v>
      </c>
      <c r="AF48" s="9">
        <v>1405</v>
      </c>
      <c r="AG48" s="9">
        <v>1500</v>
      </c>
      <c r="AH48" s="9">
        <v>1606</v>
      </c>
      <c r="AI48" s="9">
        <v>1770</v>
      </c>
      <c r="AJ48" s="9">
        <v>1699</v>
      </c>
      <c r="AK48" s="9">
        <v>1608</v>
      </c>
      <c r="AL48" s="13">
        <v>1552</v>
      </c>
      <c r="AM48" s="9">
        <v>1669</v>
      </c>
      <c r="AN48" s="9">
        <v>1616</v>
      </c>
      <c r="AO48" s="9">
        <v>1610</v>
      </c>
      <c r="AP48" s="9">
        <v>1443</v>
      </c>
      <c r="AQ48" s="9">
        <v>1379</v>
      </c>
      <c r="AR48" s="9">
        <v>1376</v>
      </c>
      <c r="AS48" s="9">
        <v>1459</v>
      </c>
      <c r="AT48" s="9">
        <v>1687</v>
      </c>
      <c r="AU48" s="9">
        <v>1566</v>
      </c>
      <c r="AV48" s="9">
        <v>1557</v>
      </c>
      <c r="AW48" s="9">
        <v>1547</v>
      </c>
      <c r="AX48" s="13">
        <v>1553</v>
      </c>
      <c r="AY48" s="9">
        <v>1613</v>
      </c>
      <c r="AZ48" s="9">
        <v>1494</v>
      </c>
      <c r="BA48" s="9">
        <v>1442</v>
      </c>
      <c r="BB48" s="9">
        <v>1466</v>
      </c>
      <c r="BC48" s="9">
        <v>1305</v>
      </c>
      <c r="BD48" s="9">
        <v>1198</v>
      </c>
      <c r="BE48" s="9">
        <v>1349</v>
      </c>
      <c r="BF48" s="9">
        <v>1457</v>
      </c>
      <c r="BG48" s="9">
        <v>1577</v>
      </c>
      <c r="BH48" s="9">
        <v>1676</v>
      </c>
      <c r="BI48" s="9">
        <v>1819</v>
      </c>
      <c r="BJ48" s="13">
        <v>2089</v>
      </c>
      <c r="BK48" s="9">
        <v>2376</v>
      </c>
      <c r="BL48" s="9">
        <v>2325</v>
      </c>
      <c r="BM48" s="9">
        <v>2378</v>
      </c>
      <c r="BN48" s="9">
        <v>2185</v>
      </c>
      <c r="BO48" s="9">
        <v>2167</v>
      </c>
      <c r="BP48" s="9">
        <v>2126</v>
      </c>
      <c r="BQ48" s="9">
        <v>2285</v>
      </c>
      <c r="BR48" s="9">
        <v>2383</v>
      </c>
      <c r="BS48" s="9">
        <v>2362</v>
      </c>
      <c r="BT48" s="9">
        <v>2339</v>
      </c>
      <c r="BU48" s="9">
        <v>2327</v>
      </c>
      <c r="BV48" s="13">
        <v>2363</v>
      </c>
      <c r="BW48" s="9">
        <v>2292</v>
      </c>
      <c r="BX48" s="9">
        <v>2130</v>
      </c>
      <c r="BY48" s="9">
        <v>1993</v>
      </c>
      <c r="BZ48" s="9">
        <v>1803</v>
      </c>
      <c r="CA48" s="9">
        <v>1577</v>
      </c>
      <c r="CB48" s="9">
        <v>1439</v>
      </c>
      <c r="CC48" s="9">
        <v>1620</v>
      </c>
      <c r="CD48" s="9">
        <v>1746</v>
      </c>
      <c r="CE48" s="9">
        <v>1717</v>
      </c>
      <c r="CF48" s="9">
        <v>1740</v>
      </c>
      <c r="CG48" s="9">
        <v>1668</v>
      </c>
      <c r="CH48" s="13">
        <v>1751</v>
      </c>
      <c r="CI48" s="9">
        <v>1791</v>
      </c>
      <c r="CJ48" s="9">
        <v>1656</v>
      </c>
      <c r="CK48" s="9">
        <v>1573</v>
      </c>
      <c r="CL48" s="9">
        <v>1428</v>
      </c>
      <c r="CM48" s="9">
        <v>1372</v>
      </c>
      <c r="CN48" s="9">
        <v>1418</v>
      </c>
      <c r="CO48" s="9">
        <v>1480</v>
      </c>
      <c r="CP48" s="9">
        <v>1663</v>
      </c>
      <c r="CQ48" s="9">
        <v>1777</v>
      </c>
      <c r="CR48" s="9">
        <v>1794</v>
      </c>
      <c r="CS48" s="9">
        <v>1929</v>
      </c>
      <c r="CT48" s="13">
        <v>1992</v>
      </c>
      <c r="CU48" s="9">
        <v>1954</v>
      </c>
      <c r="CV48" s="9">
        <v>1771</v>
      </c>
      <c r="CW48" s="9">
        <v>1612</v>
      </c>
      <c r="CX48" s="9">
        <v>1535</v>
      </c>
      <c r="CY48" s="9">
        <v>1461</v>
      </c>
      <c r="CZ48" s="9">
        <v>1502</v>
      </c>
      <c r="DA48" s="9">
        <v>1614</v>
      </c>
      <c r="DB48" s="9">
        <v>1798</v>
      </c>
      <c r="DC48" s="9">
        <v>1841</v>
      </c>
      <c r="DD48" s="9">
        <v>1909</v>
      </c>
      <c r="DE48" s="9">
        <v>2123</v>
      </c>
      <c r="DF48" s="13">
        <v>2094</v>
      </c>
      <c r="DG48" s="9">
        <v>2171</v>
      </c>
      <c r="DH48" s="9">
        <v>1918</v>
      </c>
      <c r="DI48" s="9">
        <v>1787</v>
      </c>
      <c r="DJ48" s="9">
        <v>1693</v>
      </c>
      <c r="DK48" s="9">
        <v>1636</v>
      </c>
      <c r="DL48" s="9">
        <v>1690</v>
      </c>
      <c r="DM48" s="9">
        <v>1816</v>
      </c>
      <c r="DN48" s="9">
        <v>1868</v>
      </c>
      <c r="DO48" s="9">
        <v>1733</v>
      </c>
      <c r="DP48" s="9">
        <v>1864</v>
      </c>
      <c r="DQ48" s="9">
        <v>2089</v>
      </c>
      <c r="DR48" s="13">
        <v>2050</v>
      </c>
      <c r="DS48" s="9">
        <v>2027</v>
      </c>
      <c r="DT48" s="9">
        <v>1811</v>
      </c>
      <c r="DU48" s="9">
        <v>1797</v>
      </c>
      <c r="DV48" s="9">
        <v>1690</v>
      </c>
      <c r="DW48" s="9">
        <v>1595</v>
      </c>
      <c r="DX48" s="9">
        <v>1534</v>
      </c>
      <c r="DY48" s="9">
        <v>1672</v>
      </c>
      <c r="DZ48" s="9">
        <v>1742</v>
      </c>
      <c r="EA48" s="9">
        <v>1721</v>
      </c>
      <c r="EB48" s="9">
        <v>1787</v>
      </c>
      <c r="EC48" s="9">
        <v>1854</v>
      </c>
      <c r="ED48" s="13">
        <v>1981</v>
      </c>
      <c r="EE48" s="9">
        <v>2029</v>
      </c>
      <c r="EF48" s="9">
        <v>1917</v>
      </c>
      <c r="EG48" s="9">
        <v>1974</v>
      </c>
      <c r="EH48" s="9">
        <v>1972</v>
      </c>
      <c r="EI48" s="9">
        <v>1832</v>
      </c>
      <c r="EJ48" s="9">
        <v>1812</v>
      </c>
      <c r="EK48" s="9">
        <v>2015</v>
      </c>
      <c r="EL48" s="9">
        <v>2084</v>
      </c>
      <c r="EM48" s="9">
        <v>2088</v>
      </c>
      <c r="EN48" s="9">
        <v>2226</v>
      </c>
      <c r="EO48" s="9">
        <v>2414</v>
      </c>
      <c r="EP48" s="13">
        <v>2403</v>
      </c>
      <c r="EQ48" s="9">
        <v>2267</v>
      </c>
      <c r="ER48" s="9">
        <v>2034</v>
      </c>
      <c r="ES48" s="9">
        <v>2067</v>
      </c>
      <c r="ET48" s="9">
        <v>2008</v>
      </c>
      <c r="EU48" s="9">
        <v>1875</v>
      </c>
      <c r="EV48" s="9">
        <v>1954</v>
      </c>
      <c r="EW48" s="9">
        <v>1955</v>
      </c>
      <c r="EX48" s="9">
        <v>2097</v>
      </c>
      <c r="EY48" s="9">
        <v>2147</v>
      </c>
      <c r="EZ48" s="9">
        <v>2169</v>
      </c>
      <c r="FA48" s="9">
        <v>2281</v>
      </c>
      <c r="FB48" s="13">
        <v>2357</v>
      </c>
      <c r="FC48" s="35">
        <v>2306</v>
      </c>
      <c r="FD48" s="36">
        <v>2107</v>
      </c>
      <c r="FE48" s="36">
        <v>2181</v>
      </c>
      <c r="FF48" s="33">
        <v>1933</v>
      </c>
      <c r="FG48" s="36">
        <v>1806</v>
      </c>
      <c r="FH48" s="36">
        <v>1790</v>
      </c>
      <c r="FI48" s="36">
        <v>1980</v>
      </c>
      <c r="FJ48" s="36">
        <v>2020</v>
      </c>
      <c r="FK48" s="36">
        <v>2114</v>
      </c>
      <c r="FL48" s="1">
        <v>2017</v>
      </c>
      <c r="FM48" s="1">
        <v>2131</v>
      </c>
      <c r="FN48" s="6">
        <v>2106</v>
      </c>
      <c r="FO48" s="1">
        <v>2143</v>
      </c>
      <c r="FP48" s="1">
        <v>1967</v>
      </c>
      <c r="FQ48" s="1">
        <v>1948</v>
      </c>
      <c r="FR48" s="1">
        <v>1758</v>
      </c>
      <c r="FS48" s="1">
        <v>1580</v>
      </c>
      <c r="FT48" s="1">
        <v>1605</v>
      </c>
      <c r="FU48" s="1">
        <v>1766</v>
      </c>
      <c r="FV48" s="1">
        <v>1894</v>
      </c>
      <c r="FW48" s="1">
        <v>1937</v>
      </c>
      <c r="FX48" s="1">
        <v>2014</v>
      </c>
      <c r="FY48" s="1">
        <v>2195</v>
      </c>
      <c r="FZ48" s="1">
        <v>2100</v>
      </c>
      <c r="GA48" s="48">
        <v>2013</v>
      </c>
      <c r="GB48" s="1">
        <v>1887</v>
      </c>
      <c r="GC48" s="1">
        <v>1910</v>
      </c>
      <c r="GD48" s="1">
        <v>1811</v>
      </c>
      <c r="GE48" s="1">
        <v>1764</v>
      </c>
      <c r="GF48" s="1">
        <v>1667</v>
      </c>
      <c r="GG48" s="1">
        <v>1743</v>
      </c>
      <c r="GH48" s="1">
        <v>1855</v>
      </c>
      <c r="GI48" s="1">
        <v>1948</v>
      </c>
      <c r="GJ48" s="1">
        <v>2091</v>
      </c>
      <c r="GK48" s="1">
        <v>2252</v>
      </c>
      <c r="GL48" s="1">
        <v>2223</v>
      </c>
      <c r="GM48" s="48">
        <v>2197</v>
      </c>
      <c r="GN48" s="1">
        <v>1936</v>
      </c>
      <c r="GO48" s="1">
        <v>2402</v>
      </c>
      <c r="GP48" s="1">
        <v>2612</v>
      </c>
      <c r="GQ48" s="1">
        <v>2550</v>
      </c>
      <c r="GR48" s="1">
        <v>2277</v>
      </c>
      <c r="GS48" s="1">
        <v>2355</v>
      </c>
      <c r="GT48" s="1">
        <v>2396</v>
      </c>
      <c r="GU48" s="1">
        <v>2270</v>
      </c>
      <c r="GV48" s="1">
        <v>2324</v>
      </c>
      <c r="GW48" s="1">
        <v>2441</v>
      </c>
      <c r="GX48" s="6">
        <v>2433</v>
      </c>
      <c r="GY48" s="1">
        <v>2323</v>
      </c>
      <c r="GZ48" s="1">
        <v>2087</v>
      </c>
      <c r="HA48" s="1">
        <v>2005</v>
      </c>
      <c r="HB48" s="1">
        <v>1816</v>
      </c>
      <c r="HC48" s="1">
        <v>1701</v>
      </c>
      <c r="HD48" s="1">
        <v>1607</v>
      </c>
      <c r="HE48" s="1">
        <v>1602</v>
      </c>
      <c r="HF48" s="1">
        <v>1666</v>
      </c>
      <c r="HG48" s="1">
        <v>1718</v>
      </c>
      <c r="HH48" s="1">
        <v>1856</v>
      </c>
      <c r="HI48" s="1">
        <v>2047</v>
      </c>
      <c r="HJ48" s="1">
        <v>2058</v>
      </c>
      <c r="HK48" s="48">
        <v>1974</v>
      </c>
      <c r="HL48" s="1">
        <v>1859</v>
      </c>
      <c r="HM48" s="1">
        <v>1802</v>
      </c>
      <c r="HN48" s="1">
        <v>1646</v>
      </c>
      <c r="HO48" s="1">
        <v>1469</v>
      </c>
      <c r="HP48" s="1">
        <v>1423</v>
      </c>
      <c r="HQ48" s="1">
        <v>1494</v>
      </c>
      <c r="HR48" s="1">
        <v>1515</v>
      </c>
      <c r="HS48" s="1">
        <v>1590</v>
      </c>
      <c r="HT48" s="1">
        <v>1717</v>
      </c>
      <c r="HU48" s="1">
        <v>1515</v>
      </c>
      <c r="HV48" s="1">
        <v>1916</v>
      </c>
      <c r="HW48" s="48">
        <v>1884</v>
      </c>
      <c r="HX48" s="1">
        <v>1883</v>
      </c>
      <c r="HY48" s="1">
        <v>1818</v>
      </c>
      <c r="HZ48" s="1">
        <v>1678</v>
      </c>
      <c r="IA48" s="1">
        <v>1533</v>
      </c>
      <c r="IB48" s="1">
        <v>1608</v>
      </c>
      <c r="IC48" s="1">
        <v>1706</v>
      </c>
      <c r="ID48" s="1">
        <v>1750</v>
      </c>
      <c r="IE48" s="1">
        <v>1788</v>
      </c>
      <c r="IF48" s="1">
        <v>1864</v>
      </c>
      <c r="IG48" s="1">
        <v>2155</v>
      </c>
      <c r="IH48" s="1">
        <v>2122</v>
      </c>
      <c r="II48" s="48">
        <v>2191</v>
      </c>
      <c r="IJ48" s="1">
        <v>2030</v>
      </c>
      <c r="IK48" s="1">
        <v>2042</v>
      </c>
      <c r="IL48" s="1">
        <v>1960</v>
      </c>
      <c r="IM48" s="1">
        <v>1930</v>
      </c>
      <c r="IN48" s="1">
        <v>1992</v>
      </c>
      <c r="IO48" s="1">
        <v>2049</v>
      </c>
      <c r="IP48" s="1">
        <v>2081</v>
      </c>
      <c r="IQ48" s="1">
        <v>2164</v>
      </c>
      <c r="IR48" s="1">
        <v>2329</v>
      </c>
      <c r="IS48" s="1">
        <v>2573</v>
      </c>
      <c r="IT48" s="6">
        <v>2554</v>
      </c>
      <c r="IU48" s="1">
        <v>2696</v>
      </c>
      <c r="IV48" s="1">
        <v>2436</v>
      </c>
      <c r="IW48" s="1">
        <v>2421</v>
      </c>
      <c r="IX48" s="1">
        <v>2229</v>
      </c>
      <c r="IY48" s="1">
        <v>2152</v>
      </c>
      <c r="IZ48" s="1">
        <v>2193</v>
      </c>
      <c r="JA48" s="1">
        <v>2327</v>
      </c>
      <c r="JB48" s="1">
        <v>2347</v>
      </c>
      <c r="JC48" s="1">
        <v>2296</v>
      </c>
      <c r="JD48" s="1">
        <v>2513</v>
      </c>
      <c r="JE48" s="1">
        <v>2588</v>
      </c>
      <c r="JF48" s="1">
        <v>2482</v>
      </c>
      <c r="JG48" s="48">
        <v>2596</v>
      </c>
      <c r="JH48" s="1">
        <v>2377</v>
      </c>
      <c r="JI48" s="1">
        <v>2382</v>
      </c>
    </row>
    <row r="49" spans="1:269" ht="13.5" x14ac:dyDescent="0.25">
      <c r="A49" s="17" t="s">
        <v>18</v>
      </c>
      <c r="B49" s="1">
        <v>35</v>
      </c>
      <c r="C49" s="9">
        <f>SUM([4]Tabelle2!C7:C9)</f>
        <v>1836</v>
      </c>
      <c r="D49" s="9">
        <f>SUM([4]Tabelle2!D7:D9)</f>
        <v>1852</v>
      </c>
      <c r="E49" s="9">
        <f>SUM([4]Tabelle2!E7:E9)</f>
        <v>1669</v>
      </c>
      <c r="F49" s="9">
        <f>SUM([4]Tabelle2!F7:F9)</f>
        <v>1557</v>
      </c>
      <c r="G49" s="9">
        <f>SUM([4]Tabelle2!G7:G9)</f>
        <v>1477</v>
      </c>
      <c r="H49" s="9">
        <f>SUM([4]Tabelle2!H7:H9)</f>
        <v>1462</v>
      </c>
      <c r="I49" s="9">
        <f>SUM([4]Tabelle2!I7:I9)</f>
        <v>1294</v>
      </c>
      <c r="J49" s="9">
        <f>SUM([4]Tabelle2!J7:J9)</f>
        <v>1276</v>
      </c>
      <c r="K49" s="9">
        <f>SUM([4]Tabelle2!K7:K9)</f>
        <v>1281</v>
      </c>
      <c r="L49" s="9">
        <f>SUM([4]Tabelle2!L7:L9)</f>
        <v>1337</v>
      </c>
      <c r="M49" s="9">
        <f>SUM([4]Tabelle2!M7:M9)</f>
        <v>1503</v>
      </c>
      <c r="N49" s="13">
        <f>SUM([4]Tabelle2!N7:N9)</f>
        <v>1553</v>
      </c>
      <c r="O49" s="9">
        <f>SUM([4]Tabelle2!O7:O9)</f>
        <v>1541</v>
      </c>
      <c r="P49" s="9">
        <f>SUM([4]Tabelle2!P7:P9)</f>
        <v>1551</v>
      </c>
      <c r="Q49" s="9">
        <f>SUM([4]Tabelle2!Q7:Q9)</f>
        <v>1512</v>
      </c>
      <c r="R49" s="9">
        <f>SUM([4]Tabelle2!R7:R9)</f>
        <v>1426</v>
      </c>
      <c r="S49" s="9">
        <f>SUM([4]Tabelle2!S7:S9)</f>
        <v>1411</v>
      </c>
      <c r="T49" s="9">
        <f>SUM([4]Tabelle2!T7:T9)</f>
        <v>1386</v>
      </c>
      <c r="U49" s="9">
        <f>SUM([4]Tabelle2!U7:U9)</f>
        <v>1347</v>
      </c>
      <c r="V49" s="9">
        <f>SUM([4]Tabelle2!V7:V9)</f>
        <v>1235</v>
      </c>
      <c r="W49" s="9">
        <f>SUM([4]Tabelle2!W7:W9)</f>
        <v>1288</v>
      </c>
      <c r="X49" s="9">
        <f>SUM([4]Tabelle2!X7:X9)</f>
        <v>1363</v>
      </c>
      <c r="Y49" s="9">
        <f>SUM([4]Tabelle2!Y7:Y9)</f>
        <v>1509</v>
      </c>
      <c r="Z49" s="13">
        <f>SUM([4]Tabelle2!Z7:Z9)</f>
        <v>1556</v>
      </c>
      <c r="AA49" s="9">
        <f>SUM([4]Tabelle2!AA7:AA9)</f>
        <v>1529</v>
      </c>
      <c r="AB49" s="9">
        <f>SUM([4]Tabelle2!AB7:AB9)</f>
        <v>1449</v>
      </c>
      <c r="AC49" s="9">
        <f>SUM([4]Tabelle2!AC7:AC9)</f>
        <v>1320</v>
      </c>
      <c r="AD49" s="9">
        <f>534+329+464</f>
        <v>1327</v>
      </c>
      <c r="AE49" s="9">
        <v>1225</v>
      </c>
      <c r="AF49" s="9">
        <v>1243</v>
      </c>
      <c r="AG49" s="9">
        <v>1145</v>
      </c>
      <c r="AH49" s="9">
        <v>1136</v>
      </c>
      <c r="AI49" s="9">
        <v>1018</v>
      </c>
      <c r="AJ49" s="9">
        <v>1063</v>
      </c>
      <c r="AK49" s="9">
        <v>1210</v>
      </c>
      <c r="AL49" s="13">
        <v>1326</v>
      </c>
      <c r="AM49" s="9">
        <v>1294</v>
      </c>
      <c r="AN49" s="9">
        <v>1234</v>
      </c>
      <c r="AO49" s="9">
        <v>1082</v>
      </c>
      <c r="AP49" s="9">
        <v>1142</v>
      </c>
      <c r="AQ49" s="9">
        <v>1108</v>
      </c>
      <c r="AR49" s="9">
        <v>1076</v>
      </c>
      <c r="AS49" s="9">
        <v>1004</v>
      </c>
      <c r="AT49" s="9">
        <v>998</v>
      </c>
      <c r="AU49" s="9">
        <v>1000</v>
      </c>
      <c r="AV49" s="9">
        <v>989</v>
      </c>
      <c r="AW49" s="9">
        <v>1137</v>
      </c>
      <c r="AX49" s="13">
        <v>1139</v>
      </c>
      <c r="AY49" s="9">
        <v>1176</v>
      </c>
      <c r="AZ49" s="9">
        <v>1124</v>
      </c>
      <c r="BA49" s="9">
        <v>1054</v>
      </c>
      <c r="BB49" s="9">
        <v>1042</v>
      </c>
      <c r="BC49" s="9">
        <v>983</v>
      </c>
      <c r="BD49" s="9">
        <v>1017</v>
      </c>
      <c r="BE49" s="9">
        <v>886</v>
      </c>
      <c r="BF49" s="9">
        <v>806</v>
      </c>
      <c r="BG49" s="9">
        <v>820</v>
      </c>
      <c r="BH49" s="9">
        <v>893</v>
      </c>
      <c r="BI49" s="9">
        <v>1032</v>
      </c>
      <c r="BJ49" s="13">
        <v>1156</v>
      </c>
      <c r="BK49" s="9">
        <v>1227</v>
      </c>
      <c r="BL49" s="9">
        <v>1407</v>
      </c>
      <c r="BM49" s="9">
        <v>1553</v>
      </c>
      <c r="BN49" s="9">
        <v>1798</v>
      </c>
      <c r="BO49" s="9">
        <v>1645</v>
      </c>
      <c r="BP49" s="9">
        <v>1860</v>
      </c>
      <c r="BQ49" s="9">
        <v>1693</v>
      </c>
      <c r="BR49" s="9">
        <v>1567</v>
      </c>
      <c r="BS49" s="9">
        <v>1508</v>
      </c>
      <c r="BT49" s="9">
        <v>1555</v>
      </c>
      <c r="BU49" s="9">
        <v>1678</v>
      </c>
      <c r="BV49" s="13">
        <v>1747</v>
      </c>
      <c r="BW49" s="9">
        <v>1711</v>
      </c>
      <c r="BX49" s="9">
        <v>1700</v>
      </c>
      <c r="BY49" s="9">
        <v>1636</v>
      </c>
      <c r="BZ49" s="9">
        <v>1564</v>
      </c>
      <c r="CA49" s="9">
        <v>1401</v>
      </c>
      <c r="CB49" s="9">
        <v>1351</v>
      </c>
      <c r="CC49" s="9">
        <v>1155</v>
      </c>
      <c r="CD49" s="9">
        <v>1059</v>
      </c>
      <c r="CE49" s="9">
        <v>1050</v>
      </c>
      <c r="CF49" s="9">
        <v>1073</v>
      </c>
      <c r="CG49" s="9">
        <v>1206</v>
      </c>
      <c r="CH49" s="13">
        <v>1246</v>
      </c>
      <c r="CI49" s="9">
        <v>1202</v>
      </c>
      <c r="CJ49" s="9">
        <v>1168</v>
      </c>
      <c r="CK49" s="9">
        <v>1136</v>
      </c>
      <c r="CL49" s="9">
        <v>1053</v>
      </c>
      <c r="CM49" s="9">
        <v>963</v>
      </c>
      <c r="CN49" s="9">
        <v>982</v>
      </c>
      <c r="CO49" s="9">
        <v>881</v>
      </c>
      <c r="CP49" s="9">
        <v>879</v>
      </c>
      <c r="CQ49" s="9">
        <v>915</v>
      </c>
      <c r="CR49" s="9">
        <v>990</v>
      </c>
      <c r="CS49" s="9">
        <v>1172</v>
      </c>
      <c r="CT49" s="13">
        <v>1284</v>
      </c>
      <c r="CU49" s="9">
        <v>1357</v>
      </c>
      <c r="CV49" s="9">
        <v>1465</v>
      </c>
      <c r="CW49" s="9">
        <v>1362</v>
      </c>
      <c r="CX49" s="9">
        <v>1305</v>
      </c>
      <c r="CY49" s="9">
        <v>1169</v>
      </c>
      <c r="CZ49" s="9">
        <v>1099</v>
      </c>
      <c r="DA49" s="9">
        <v>1026</v>
      </c>
      <c r="DB49" s="9">
        <v>1020</v>
      </c>
      <c r="DC49" s="9">
        <v>1003</v>
      </c>
      <c r="DD49" s="9">
        <v>1138</v>
      </c>
      <c r="DE49" s="9">
        <v>1260</v>
      </c>
      <c r="DF49" s="13">
        <v>1434</v>
      </c>
      <c r="DG49" s="9">
        <v>1504</v>
      </c>
      <c r="DH49" s="9">
        <v>1649</v>
      </c>
      <c r="DI49" s="9">
        <v>1488</v>
      </c>
      <c r="DJ49" s="9">
        <v>1415</v>
      </c>
      <c r="DK49" s="9">
        <v>1249</v>
      </c>
      <c r="DL49" s="9">
        <v>1158</v>
      </c>
      <c r="DM49" s="9">
        <v>1117</v>
      </c>
      <c r="DN49" s="9">
        <v>1070</v>
      </c>
      <c r="DO49" s="9">
        <v>1176</v>
      </c>
      <c r="DP49" s="9">
        <v>1205</v>
      </c>
      <c r="DQ49" s="9">
        <v>1194</v>
      </c>
      <c r="DR49" s="13">
        <v>1273</v>
      </c>
      <c r="DS49" s="9">
        <v>1297</v>
      </c>
      <c r="DT49" s="9">
        <v>1447</v>
      </c>
      <c r="DU49" s="9">
        <v>1288</v>
      </c>
      <c r="DV49" s="9">
        <v>1218</v>
      </c>
      <c r="DW49" s="9">
        <v>1105</v>
      </c>
      <c r="DX49" s="9">
        <v>1165</v>
      </c>
      <c r="DY49" s="9">
        <v>1100</v>
      </c>
      <c r="DZ49" s="9">
        <v>994</v>
      </c>
      <c r="EA49" s="9">
        <v>1010</v>
      </c>
      <c r="EB49" s="9">
        <v>1032</v>
      </c>
      <c r="EC49" s="9">
        <v>1089</v>
      </c>
      <c r="ED49" s="13">
        <v>1176</v>
      </c>
      <c r="EE49" s="9">
        <v>1204</v>
      </c>
      <c r="EF49" s="9">
        <v>1306</v>
      </c>
      <c r="EG49" s="9">
        <v>1318</v>
      </c>
      <c r="EH49" s="9">
        <v>1306</v>
      </c>
      <c r="EI49" s="9">
        <v>1221</v>
      </c>
      <c r="EJ49" s="9">
        <v>1332</v>
      </c>
      <c r="EK49" s="9">
        <v>1280</v>
      </c>
      <c r="EL49" s="9">
        <v>1230</v>
      </c>
      <c r="EM49" s="9">
        <v>1246</v>
      </c>
      <c r="EN49" s="9">
        <v>1272</v>
      </c>
      <c r="EO49" s="9">
        <v>1397</v>
      </c>
      <c r="EP49" s="13">
        <v>1547</v>
      </c>
      <c r="EQ49" s="9">
        <v>1619</v>
      </c>
      <c r="ER49" s="9">
        <v>1789</v>
      </c>
      <c r="ES49" s="9">
        <v>1587</v>
      </c>
      <c r="ET49" s="9">
        <v>1438</v>
      </c>
      <c r="EU49" s="9">
        <v>1354</v>
      </c>
      <c r="EV49" s="9">
        <v>1350</v>
      </c>
      <c r="EW49" s="9">
        <v>1290</v>
      </c>
      <c r="EX49" s="9">
        <v>1272</v>
      </c>
      <c r="EY49" s="9">
        <v>1350</v>
      </c>
      <c r="EZ49" s="9">
        <v>1293</v>
      </c>
      <c r="FA49" s="9">
        <v>1389</v>
      </c>
      <c r="FB49" s="13">
        <v>1415</v>
      </c>
      <c r="FC49" s="35">
        <v>1511</v>
      </c>
      <c r="FD49" s="36">
        <v>1591</v>
      </c>
      <c r="FE49" s="36">
        <v>1483</v>
      </c>
      <c r="FF49" s="33">
        <v>1422</v>
      </c>
      <c r="FG49" s="36">
        <v>1379</v>
      </c>
      <c r="FH49" s="36">
        <v>1324</v>
      </c>
      <c r="FI49" s="36">
        <v>1223</v>
      </c>
      <c r="FJ49" s="36">
        <v>1150</v>
      </c>
      <c r="FK49" s="36">
        <v>1116</v>
      </c>
      <c r="FL49" s="1">
        <v>1215</v>
      </c>
      <c r="FM49" s="1">
        <v>1311</v>
      </c>
      <c r="FN49" s="6">
        <v>1412</v>
      </c>
      <c r="FO49" s="1">
        <v>1372</v>
      </c>
      <c r="FP49" s="1">
        <v>1451</v>
      </c>
      <c r="FQ49" s="1">
        <v>1324</v>
      </c>
      <c r="FR49" s="1">
        <v>1308</v>
      </c>
      <c r="FS49" s="1">
        <v>1200</v>
      </c>
      <c r="FT49" s="1">
        <v>1149</v>
      </c>
      <c r="FU49" s="1">
        <v>1044</v>
      </c>
      <c r="FV49" s="1">
        <v>1007</v>
      </c>
      <c r="FW49" s="1">
        <v>1006</v>
      </c>
      <c r="FX49" s="1">
        <v>1077</v>
      </c>
      <c r="FY49" s="1">
        <v>1152</v>
      </c>
      <c r="FZ49" s="1">
        <v>1308</v>
      </c>
      <c r="GA49" s="48">
        <v>1364</v>
      </c>
      <c r="GB49" s="1">
        <v>1400</v>
      </c>
      <c r="GC49" s="1">
        <v>1264</v>
      </c>
      <c r="GD49" s="1">
        <v>1189</v>
      </c>
      <c r="GE49" s="1">
        <v>1121</v>
      </c>
      <c r="GF49" s="1">
        <v>1153</v>
      </c>
      <c r="GG49" s="1">
        <v>1110</v>
      </c>
      <c r="GH49" s="1">
        <v>1013</v>
      </c>
      <c r="GI49" s="1">
        <v>1019</v>
      </c>
      <c r="GJ49" s="1">
        <v>1070</v>
      </c>
      <c r="GK49" s="1">
        <v>1143</v>
      </c>
      <c r="GL49" s="1">
        <v>1301</v>
      </c>
      <c r="GM49" s="48">
        <v>1400</v>
      </c>
      <c r="GN49" s="1">
        <v>1434</v>
      </c>
      <c r="GO49" s="1">
        <v>1376</v>
      </c>
      <c r="GP49" s="1">
        <v>1472</v>
      </c>
      <c r="GQ49" s="1">
        <v>1404</v>
      </c>
      <c r="GR49" s="1">
        <v>1770</v>
      </c>
      <c r="GS49" s="1">
        <v>1765</v>
      </c>
      <c r="GT49" s="1">
        <v>1649</v>
      </c>
      <c r="GU49" s="1">
        <v>1520</v>
      </c>
      <c r="GV49" s="1">
        <v>1503</v>
      </c>
      <c r="GW49" s="1">
        <v>1595</v>
      </c>
      <c r="GX49" s="6">
        <v>1662</v>
      </c>
      <c r="GY49" s="1">
        <v>1681</v>
      </c>
      <c r="GZ49" s="1">
        <v>1764</v>
      </c>
      <c r="HA49" s="1">
        <v>1653</v>
      </c>
      <c r="HB49" s="1">
        <v>1602</v>
      </c>
      <c r="HC49" s="1">
        <v>1368</v>
      </c>
      <c r="HD49" s="1">
        <v>1309</v>
      </c>
      <c r="HE49" s="1">
        <v>1167</v>
      </c>
      <c r="HF49" s="1">
        <v>1075</v>
      </c>
      <c r="HG49" s="1">
        <v>1054</v>
      </c>
      <c r="HH49" s="1">
        <v>954</v>
      </c>
      <c r="HI49" s="1">
        <v>1059</v>
      </c>
      <c r="HJ49" s="1">
        <v>1167</v>
      </c>
      <c r="HK49" s="48">
        <v>1301</v>
      </c>
      <c r="HL49" s="1">
        <v>1374</v>
      </c>
      <c r="HM49" s="1">
        <v>1290</v>
      </c>
      <c r="HN49" s="1">
        <v>1189</v>
      </c>
      <c r="HO49" s="1">
        <v>1122</v>
      </c>
      <c r="HP49" s="1">
        <v>1097</v>
      </c>
      <c r="HQ49" s="1">
        <v>972</v>
      </c>
      <c r="HR49" s="1">
        <v>895</v>
      </c>
      <c r="HS49" s="1">
        <v>807</v>
      </c>
      <c r="HT49" s="1">
        <v>826</v>
      </c>
      <c r="HU49" s="1">
        <v>895</v>
      </c>
      <c r="HV49" s="1">
        <v>951</v>
      </c>
      <c r="HW49" s="48">
        <v>1083</v>
      </c>
      <c r="HX49" s="1">
        <v>1141</v>
      </c>
      <c r="HY49" s="1">
        <v>1120</v>
      </c>
      <c r="HZ49" s="1">
        <v>1063</v>
      </c>
      <c r="IA49" s="1">
        <v>1086</v>
      </c>
      <c r="IB49" s="1">
        <v>1071</v>
      </c>
      <c r="IC49" s="1">
        <v>1018</v>
      </c>
      <c r="ID49" s="1">
        <v>968</v>
      </c>
      <c r="IE49" s="1">
        <v>916</v>
      </c>
      <c r="IF49" s="1">
        <v>1009</v>
      </c>
      <c r="IG49" s="1">
        <v>1083</v>
      </c>
      <c r="IH49" s="1">
        <v>1151</v>
      </c>
      <c r="II49" s="48">
        <v>1220</v>
      </c>
      <c r="IJ49" s="1">
        <v>1401</v>
      </c>
      <c r="IK49" s="1">
        <v>1314</v>
      </c>
      <c r="IL49" s="1">
        <v>1351</v>
      </c>
      <c r="IM49" s="1">
        <v>1255</v>
      </c>
      <c r="IN49" s="1">
        <v>1271</v>
      </c>
      <c r="IO49" s="1">
        <v>1279</v>
      </c>
      <c r="IP49" s="1">
        <v>1206</v>
      </c>
      <c r="IQ49" s="1">
        <v>1296</v>
      </c>
      <c r="IR49" s="1">
        <v>1305</v>
      </c>
      <c r="IS49" s="1">
        <v>1344</v>
      </c>
      <c r="IT49" s="6">
        <v>1496</v>
      </c>
      <c r="IU49" s="1">
        <v>1586</v>
      </c>
      <c r="IV49" s="1">
        <v>1822</v>
      </c>
      <c r="IW49" s="1">
        <v>1724</v>
      </c>
      <c r="IX49" s="1">
        <v>1718</v>
      </c>
      <c r="IY49" s="1">
        <v>1468</v>
      </c>
      <c r="IZ49" s="1">
        <v>1590</v>
      </c>
      <c r="JA49" s="1">
        <v>1459</v>
      </c>
      <c r="JB49" s="1">
        <v>1456</v>
      </c>
      <c r="JC49" s="1">
        <v>1470</v>
      </c>
      <c r="JD49" s="1">
        <v>1564</v>
      </c>
      <c r="JE49" s="1">
        <v>1551</v>
      </c>
      <c r="JF49" s="1">
        <v>1617</v>
      </c>
      <c r="JG49" s="48">
        <v>1682</v>
      </c>
      <c r="JH49" s="1">
        <v>1797</v>
      </c>
      <c r="JI49" s="1">
        <v>1681</v>
      </c>
    </row>
    <row r="50" spans="1:269" ht="13.5" x14ac:dyDescent="0.25">
      <c r="A50" s="17" t="s">
        <v>19</v>
      </c>
      <c r="B50" s="1">
        <v>36</v>
      </c>
      <c r="C50" s="9">
        <f>SUM([4]Tabelle2!C10:C12)</f>
        <v>1076</v>
      </c>
      <c r="D50" s="9">
        <f>SUM([4]Tabelle2!D10:D12)</f>
        <v>1180</v>
      </c>
      <c r="E50" s="9">
        <f>SUM([4]Tabelle2!E10:E12)</f>
        <v>1259</v>
      </c>
      <c r="F50" s="9">
        <f>SUM([4]Tabelle2!F10:F12)</f>
        <v>1248</v>
      </c>
      <c r="G50" s="9">
        <f>SUM([4]Tabelle2!G10:G12)</f>
        <v>1199</v>
      </c>
      <c r="H50" s="9">
        <f>SUM([4]Tabelle2!H10:H12)</f>
        <v>1057</v>
      </c>
      <c r="I50" s="9">
        <f>SUM([4]Tabelle2!I10:I12)</f>
        <v>1022</v>
      </c>
      <c r="J50" s="9">
        <f>SUM([4]Tabelle2!J10:J12)</f>
        <v>981</v>
      </c>
      <c r="K50" s="9">
        <f>SUM([4]Tabelle2!K10:K12)</f>
        <v>988</v>
      </c>
      <c r="L50" s="9">
        <f>SUM([4]Tabelle2!L10:L12)</f>
        <v>848</v>
      </c>
      <c r="M50" s="9">
        <f>SUM([4]Tabelle2!M10:M12)</f>
        <v>835</v>
      </c>
      <c r="N50" s="13">
        <f>SUM([4]Tabelle2!N10:N12)</f>
        <v>855</v>
      </c>
      <c r="O50" s="9">
        <f>SUM([4]Tabelle2!O10:O12)</f>
        <v>936</v>
      </c>
      <c r="P50" s="9">
        <f>SUM([4]Tabelle2!P10:P12)</f>
        <v>1095</v>
      </c>
      <c r="Q50" s="9">
        <f>SUM([4]Tabelle2!Q10:Q12)</f>
        <v>1107</v>
      </c>
      <c r="R50" s="9">
        <f>SUM([4]Tabelle2!R10:R12)</f>
        <v>1043</v>
      </c>
      <c r="S50" s="9">
        <f>SUM([4]Tabelle2!S10:S12)</f>
        <v>1040</v>
      </c>
      <c r="T50" s="9">
        <f>SUM([4]Tabelle2!T10:T12)</f>
        <v>1022</v>
      </c>
      <c r="U50" s="9">
        <f>SUM([4]Tabelle2!U10:U12)</f>
        <v>976</v>
      </c>
      <c r="V50" s="9">
        <f>SUM([4]Tabelle2!V10:V12)</f>
        <v>935</v>
      </c>
      <c r="W50" s="9">
        <f>SUM([4]Tabelle2!W10:W12)</f>
        <v>892</v>
      </c>
      <c r="X50" s="9">
        <f>SUM([4]Tabelle2!X10:X12)</f>
        <v>923</v>
      </c>
      <c r="Y50" s="9">
        <f>SUM([4]Tabelle2!Y10:Y12)</f>
        <v>859</v>
      </c>
      <c r="Z50" s="13">
        <f>SUM([4]Tabelle2!Z10:Z12)</f>
        <v>924</v>
      </c>
      <c r="AA50" s="9">
        <f>SUM([4]Tabelle2!AA10:AA12)</f>
        <v>965</v>
      </c>
      <c r="AB50" s="9">
        <f>SUM([4]Tabelle2!AB10:AB12)</f>
        <v>1069</v>
      </c>
      <c r="AC50" s="9">
        <f>SUM([4]Tabelle2!AC10:AC12)</f>
        <v>1089</v>
      </c>
      <c r="AD50" s="9">
        <f>332+313+374</f>
        <v>1019</v>
      </c>
      <c r="AE50" s="9">
        <v>943</v>
      </c>
      <c r="AF50" s="9">
        <v>842</v>
      </c>
      <c r="AG50" s="9">
        <v>836</v>
      </c>
      <c r="AH50" s="9">
        <v>763</v>
      </c>
      <c r="AI50" s="9">
        <v>756</v>
      </c>
      <c r="AJ50" s="9">
        <v>693</v>
      </c>
      <c r="AK50" s="9">
        <v>671</v>
      </c>
      <c r="AL50" s="13">
        <v>689</v>
      </c>
      <c r="AM50" s="9">
        <v>706</v>
      </c>
      <c r="AN50" s="9">
        <v>832</v>
      </c>
      <c r="AO50" s="9">
        <v>865</v>
      </c>
      <c r="AP50" s="9">
        <v>829</v>
      </c>
      <c r="AQ50" s="9">
        <v>787</v>
      </c>
      <c r="AR50" s="9">
        <v>677</v>
      </c>
      <c r="AS50" s="9">
        <v>731</v>
      </c>
      <c r="AT50" s="9">
        <v>645</v>
      </c>
      <c r="AU50" s="9">
        <v>692</v>
      </c>
      <c r="AV50" s="9">
        <v>626</v>
      </c>
      <c r="AW50" s="9">
        <v>586</v>
      </c>
      <c r="AX50" s="13">
        <v>668</v>
      </c>
      <c r="AY50" s="9">
        <v>693</v>
      </c>
      <c r="AZ50" s="9">
        <v>748</v>
      </c>
      <c r="BA50" s="9">
        <v>734</v>
      </c>
      <c r="BB50" s="9">
        <v>720</v>
      </c>
      <c r="BC50" s="9">
        <v>657</v>
      </c>
      <c r="BD50" s="9">
        <v>596</v>
      </c>
      <c r="BE50" s="9">
        <v>623</v>
      </c>
      <c r="BF50" s="9">
        <v>615</v>
      </c>
      <c r="BG50" s="9">
        <v>622</v>
      </c>
      <c r="BH50" s="9">
        <v>523</v>
      </c>
      <c r="BI50" s="9">
        <v>488</v>
      </c>
      <c r="BJ50" s="13">
        <v>524</v>
      </c>
      <c r="BK50" s="9">
        <v>587</v>
      </c>
      <c r="BL50" s="9">
        <v>728</v>
      </c>
      <c r="BM50" s="9">
        <v>806</v>
      </c>
      <c r="BN50" s="9">
        <v>897</v>
      </c>
      <c r="BO50" s="9">
        <v>1047</v>
      </c>
      <c r="BP50" s="9">
        <v>1147</v>
      </c>
      <c r="BQ50" s="9">
        <v>1276</v>
      </c>
      <c r="BR50" s="9">
        <v>1214</v>
      </c>
      <c r="BS50" s="9">
        <v>1372</v>
      </c>
      <c r="BT50" s="9">
        <v>1178</v>
      </c>
      <c r="BU50" s="9">
        <v>1112</v>
      </c>
      <c r="BV50" s="13">
        <v>1126</v>
      </c>
      <c r="BW50" s="9">
        <v>1154</v>
      </c>
      <c r="BX50" s="9">
        <v>1199</v>
      </c>
      <c r="BY50" s="9">
        <v>1216</v>
      </c>
      <c r="BZ50" s="9">
        <v>1138</v>
      </c>
      <c r="CA50" s="9">
        <v>1187</v>
      </c>
      <c r="CB50" s="9">
        <v>1080</v>
      </c>
      <c r="CC50" s="9">
        <v>1004</v>
      </c>
      <c r="CD50" s="9">
        <v>930</v>
      </c>
      <c r="CE50" s="9">
        <v>884</v>
      </c>
      <c r="CF50" s="9">
        <v>741</v>
      </c>
      <c r="CG50" s="9">
        <v>654</v>
      </c>
      <c r="CH50" s="13">
        <v>698</v>
      </c>
      <c r="CI50" s="9">
        <v>724</v>
      </c>
      <c r="CJ50" s="9">
        <v>799</v>
      </c>
      <c r="CK50" s="9">
        <v>807</v>
      </c>
      <c r="CL50" s="9">
        <v>733</v>
      </c>
      <c r="CM50" s="9">
        <v>698</v>
      </c>
      <c r="CN50" s="9">
        <v>640</v>
      </c>
      <c r="CO50" s="9">
        <v>644</v>
      </c>
      <c r="CP50" s="9">
        <v>591</v>
      </c>
      <c r="CQ50" s="9">
        <v>563</v>
      </c>
      <c r="CR50" s="9">
        <v>554</v>
      </c>
      <c r="CS50" s="9">
        <v>551</v>
      </c>
      <c r="CT50" s="13">
        <v>603</v>
      </c>
      <c r="CU50" s="9">
        <v>684</v>
      </c>
      <c r="CV50" s="9">
        <v>817</v>
      </c>
      <c r="CW50" s="9">
        <v>866</v>
      </c>
      <c r="CX50" s="9">
        <v>893</v>
      </c>
      <c r="CY50" s="9">
        <v>942</v>
      </c>
      <c r="CZ50" s="9">
        <v>848</v>
      </c>
      <c r="DA50" s="9">
        <v>840</v>
      </c>
      <c r="DB50" s="9">
        <v>725</v>
      </c>
      <c r="DC50" s="9">
        <v>707</v>
      </c>
      <c r="DD50" s="9">
        <v>686</v>
      </c>
      <c r="DE50" s="9">
        <v>663</v>
      </c>
      <c r="DF50" s="13">
        <v>744</v>
      </c>
      <c r="DG50" s="9">
        <v>815</v>
      </c>
      <c r="DH50" s="9">
        <v>896</v>
      </c>
      <c r="DI50" s="9">
        <v>958</v>
      </c>
      <c r="DJ50" s="9">
        <v>974</v>
      </c>
      <c r="DK50" s="9">
        <v>1018</v>
      </c>
      <c r="DL50" s="9">
        <v>888</v>
      </c>
      <c r="DM50" s="9">
        <v>907</v>
      </c>
      <c r="DN50" s="9">
        <v>779</v>
      </c>
      <c r="DO50" s="9">
        <v>784</v>
      </c>
      <c r="DP50" s="9">
        <v>768</v>
      </c>
      <c r="DQ50" s="9">
        <v>748</v>
      </c>
      <c r="DR50" s="13">
        <v>820</v>
      </c>
      <c r="DS50" s="9">
        <v>795</v>
      </c>
      <c r="DT50" s="9">
        <v>784</v>
      </c>
      <c r="DU50" s="9">
        <v>800</v>
      </c>
      <c r="DV50" s="9">
        <v>840</v>
      </c>
      <c r="DW50" s="9">
        <v>896</v>
      </c>
      <c r="DX50" s="9">
        <v>819</v>
      </c>
      <c r="DY50" s="9">
        <v>792</v>
      </c>
      <c r="DZ50" s="9">
        <v>679</v>
      </c>
      <c r="EA50" s="9">
        <v>729</v>
      </c>
      <c r="EB50" s="9">
        <v>674</v>
      </c>
      <c r="EC50" s="9">
        <v>661</v>
      </c>
      <c r="ED50" s="13">
        <v>716</v>
      </c>
      <c r="EE50" s="9">
        <v>708</v>
      </c>
      <c r="EF50" s="9">
        <v>758</v>
      </c>
      <c r="EG50" s="9">
        <v>771</v>
      </c>
      <c r="EH50" s="9">
        <v>822</v>
      </c>
      <c r="EI50" s="9">
        <v>885</v>
      </c>
      <c r="EJ50" s="9">
        <v>866</v>
      </c>
      <c r="EK50" s="9">
        <v>840</v>
      </c>
      <c r="EL50" s="9">
        <v>822</v>
      </c>
      <c r="EM50" s="9">
        <v>880</v>
      </c>
      <c r="EN50" s="9">
        <v>805</v>
      </c>
      <c r="EO50" s="9">
        <v>836</v>
      </c>
      <c r="EP50" s="13">
        <v>896</v>
      </c>
      <c r="EQ50" s="9">
        <v>915</v>
      </c>
      <c r="ER50" s="9">
        <v>997</v>
      </c>
      <c r="ES50" s="9">
        <v>1056</v>
      </c>
      <c r="ET50" s="9">
        <v>1103</v>
      </c>
      <c r="EU50" s="9">
        <v>1153</v>
      </c>
      <c r="EV50" s="9">
        <v>1045</v>
      </c>
      <c r="EW50" s="9">
        <v>964</v>
      </c>
      <c r="EX50" s="9">
        <v>908</v>
      </c>
      <c r="EY50" s="9">
        <v>847</v>
      </c>
      <c r="EZ50" s="9">
        <v>910</v>
      </c>
      <c r="FA50" s="9">
        <v>915</v>
      </c>
      <c r="FB50" s="13">
        <v>953</v>
      </c>
      <c r="FC50" s="35">
        <v>920</v>
      </c>
      <c r="FD50" s="36">
        <v>969</v>
      </c>
      <c r="FE50" s="36">
        <v>953</v>
      </c>
      <c r="FF50" s="33">
        <v>998</v>
      </c>
      <c r="FG50" s="36">
        <v>1021</v>
      </c>
      <c r="FH50" s="36">
        <v>962</v>
      </c>
      <c r="FI50" s="36">
        <v>964</v>
      </c>
      <c r="FJ50" s="36">
        <v>922</v>
      </c>
      <c r="FK50" s="36">
        <v>893</v>
      </c>
      <c r="FL50" s="1">
        <v>798</v>
      </c>
      <c r="FM50" s="1">
        <v>773</v>
      </c>
      <c r="FN50" s="6">
        <v>803</v>
      </c>
      <c r="FO50" s="1">
        <v>877</v>
      </c>
      <c r="FP50" s="1">
        <v>925</v>
      </c>
      <c r="FQ50" s="1">
        <v>947</v>
      </c>
      <c r="FR50" s="1">
        <v>918</v>
      </c>
      <c r="FS50" s="1">
        <v>981</v>
      </c>
      <c r="FT50" s="1">
        <v>847</v>
      </c>
      <c r="FU50" s="1">
        <v>854</v>
      </c>
      <c r="FV50" s="1">
        <v>738</v>
      </c>
      <c r="FW50" s="1">
        <v>738</v>
      </c>
      <c r="FX50" s="1">
        <v>691</v>
      </c>
      <c r="FY50" s="1">
        <v>655</v>
      </c>
      <c r="FZ50" s="1">
        <v>696</v>
      </c>
      <c r="GA50" s="48">
        <v>763</v>
      </c>
      <c r="GB50" s="1">
        <v>796</v>
      </c>
      <c r="GC50" s="1">
        <v>829</v>
      </c>
      <c r="GD50" s="1">
        <v>848</v>
      </c>
      <c r="GE50" s="1">
        <v>842</v>
      </c>
      <c r="GF50" s="1">
        <v>761</v>
      </c>
      <c r="GG50" s="1">
        <v>759</v>
      </c>
      <c r="GH50" s="1">
        <v>677</v>
      </c>
      <c r="GI50" s="1">
        <v>728</v>
      </c>
      <c r="GJ50" s="1">
        <v>697</v>
      </c>
      <c r="GK50" s="1">
        <v>695</v>
      </c>
      <c r="GL50" s="1">
        <v>735</v>
      </c>
      <c r="GM50" s="48">
        <v>718</v>
      </c>
      <c r="GN50" s="1">
        <v>782</v>
      </c>
      <c r="GO50" s="1">
        <v>894</v>
      </c>
      <c r="GP50" s="1">
        <v>1023</v>
      </c>
      <c r="GQ50" s="1">
        <v>1122</v>
      </c>
      <c r="GR50" s="1">
        <v>1071</v>
      </c>
      <c r="GS50" s="1">
        <v>1120</v>
      </c>
      <c r="GT50" s="1">
        <v>1041</v>
      </c>
      <c r="GU50" s="1">
        <v>1284</v>
      </c>
      <c r="GV50" s="1">
        <v>1165</v>
      </c>
      <c r="GW50" s="1">
        <v>1171</v>
      </c>
      <c r="GX50" s="6">
        <v>1139</v>
      </c>
      <c r="GY50" s="1">
        <v>1135</v>
      </c>
      <c r="GZ50" s="1">
        <v>1202</v>
      </c>
      <c r="HA50" s="1">
        <v>1226</v>
      </c>
      <c r="HB50" s="1">
        <v>1207</v>
      </c>
      <c r="HC50" s="1">
        <v>1277</v>
      </c>
      <c r="HD50" s="1">
        <v>1160</v>
      </c>
      <c r="HE50" s="1">
        <v>1058</v>
      </c>
      <c r="HF50" s="1">
        <v>894</v>
      </c>
      <c r="HG50" s="1">
        <v>840</v>
      </c>
      <c r="HH50" s="1">
        <v>768</v>
      </c>
      <c r="HI50" s="1">
        <v>701</v>
      </c>
      <c r="HJ50" s="1">
        <v>718</v>
      </c>
      <c r="HK50" s="48">
        <v>651</v>
      </c>
      <c r="HL50" s="1">
        <v>726</v>
      </c>
      <c r="HM50" s="1">
        <v>783</v>
      </c>
      <c r="HN50" s="1">
        <v>824</v>
      </c>
      <c r="HO50" s="1">
        <v>865</v>
      </c>
      <c r="HP50" s="1">
        <v>802</v>
      </c>
      <c r="HQ50" s="1">
        <v>790</v>
      </c>
      <c r="HR50" s="1">
        <v>729</v>
      </c>
      <c r="HS50" s="1">
        <v>670</v>
      </c>
      <c r="HT50" s="1">
        <v>572</v>
      </c>
      <c r="HU50" s="1">
        <v>729</v>
      </c>
      <c r="HV50" s="1">
        <v>515</v>
      </c>
      <c r="HW50" s="48">
        <v>523</v>
      </c>
      <c r="HX50" s="1">
        <v>552</v>
      </c>
      <c r="HY50" s="1">
        <v>606</v>
      </c>
      <c r="HZ50" s="1">
        <v>669</v>
      </c>
      <c r="IA50" s="1">
        <v>732</v>
      </c>
      <c r="IB50" s="1">
        <v>665</v>
      </c>
      <c r="IC50" s="1">
        <v>698</v>
      </c>
      <c r="ID50" s="1">
        <v>694</v>
      </c>
      <c r="IE50" s="1">
        <v>663</v>
      </c>
      <c r="IF50" s="1">
        <v>625</v>
      </c>
      <c r="IG50" s="1">
        <v>598</v>
      </c>
      <c r="IH50" s="1">
        <v>647</v>
      </c>
      <c r="II50" s="48">
        <v>701</v>
      </c>
      <c r="IJ50" s="1">
        <v>748</v>
      </c>
      <c r="IK50" s="1">
        <v>778</v>
      </c>
      <c r="IL50" s="1">
        <v>823</v>
      </c>
      <c r="IM50" s="1">
        <v>938</v>
      </c>
      <c r="IN50" s="1">
        <v>886</v>
      </c>
      <c r="IO50" s="1">
        <v>925</v>
      </c>
      <c r="IP50" s="1">
        <v>864</v>
      </c>
      <c r="IQ50" s="1">
        <v>845</v>
      </c>
      <c r="IR50" s="1">
        <v>845</v>
      </c>
      <c r="IS50" s="1">
        <v>822</v>
      </c>
      <c r="IT50" s="6">
        <v>942</v>
      </c>
      <c r="IU50" s="1">
        <v>917</v>
      </c>
      <c r="IV50" s="1">
        <v>975</v>
      </c>
      <c r="IW50" s="1">
        <v>1055</v>
      </c>
      <c r="IX50" s="1">
        <v>1144</v>
      </c>
      <c r="IY50" s="1">
        <v>1264</v>
      </c>
      <c r="IZ50" s="1">
        <v>1168</v>
      </c>
      <c r="JA50" s="1">
        <v>1221</v>
      </c>
      <c r="JB50" s="1">
        <v>1013</v>
      </c>
      <c r="JC50" s="1">
        <v>1101</v>
      </c>
      <c r="JD50" s="1">
        <v>1000</v>
      </c>
      <c r="JE50" s="1">
        <v>1034</v>
      </c>
      <c r="JF50" s="1">
        <v>1081</v>
      </c>
      <c r="JG50" s="48">
        <v>1110</v>
      </c>
      <c r="JH50" s="1">
        <v>1123</v>
      </c>
      <c r="JI50" s="1">
        <v>1120</v>
      </c>
    </row>
    <row r="51" spans="1:269" ht="13.5" x14ac:dyDescent="0.25">
      <c r="A51" s="17" t="s">
        <v>20</v>
      </c>
      <c r="B51" s="1">
        <v>37</v>
      </c>
      <c r="C51" s="9">
        <f>SUM([4]Tabelle2!C13:C15)</f>
        <v>825</v>
      </c>
      <c r="D51" s="9">
        <f>SUM([4]Tabelle2!D13:D15)</f>
        <v>817</v>
      </c>
      <c r="E51" s="9">
        <f>SUM([4]Tabelle2!E13:E15)</f>
        <v>782</v>
      </c>
      <c r="F51" s="9">
        <f>SUM([4]Tabelle2!F13:F15)</f>
        <v>835</v>
      </c>
      <c r="G51" s="9">
        <f>SUM([4]Tabelle2!G13:G15)</f>
        <v>964</v>
      </c>
      <c r="H51" s="9">
        <f>SUM([4]Tabelle2!H13:H15)</f>
        <v>969</v>
      </c>
      <c r="I51" s="9">
        <f>SUM([4]Tabelle2!I13:I15)</f>
        <v>950</v>
      </c>
      <c r="J51" s="9">
        <f>SUM([4]Tabelle2!J13:J15)</f>
        <v>915</v>
      </c>
      <c r="K51" s="9">
        <f>SUM([4]Tabelle2!K13:K15)</f>
        <v>781</v>
      </c>
      <c r="L51" s="9">
        <f>SUM([4]Tabelle2!L13:L15)</f>
        <v>780</v>
      </c>
      <c r="M51" s="9">
        <f>SUM([4]Tabelle2!M13:M15)</f>
        <v>729</v>
      </c>
      <c r="N51" s="13">
        <f>SUM([4]Tabelle2!N13:N15)</f>
        <v>740</v>
      </c>
      <c r="O51" s="9">
        <f>SUM([4]Tabelle2!O13:O15)</f>
        <v>712</v>
      </c>
      <c r="P51" s="9">
        <f>SUM([4]Tabelle2!P13:P15)</f>
        <v>691</v>
      </c>
      <c r="Q51" s="9">
        <f>SUM([4]Tabelle2!Q13:Q15)</f>
        <v>653</v>
      </c>
      <c r="R51" s="9">
        <f>SUM([4]Tabelle2!R13:R15)</f>
        <v>737</v>
      </c>
      <c r="S51" s="9">
        <f>SUM([4]Tabelle2!S13:S15)</f>
        <v>892</v>
      </c>
      <c r="T51" s="9">
        <f>SUM([4]Tabelle2!T13:T15)</f>
        <v>858</v>
      </c>
      <c r="U51" s="9">
        <f>SUM([4]Tabelle2!U13:U15)</f>
        <v>859</v>
      </c>
      <c r="V51" s="9">
        <f>SUM([4]Tabelle2!V13:V15)</f>
        <v>808</v>
      </c>
      <c r="W51" s="9">
        <f>SUM([4]Tabelle2!W13:W15)</f>
        <v>757</v>
      </c>
      <c r="X51" s="9">
        <f>SUM([4]Tabelle2!X13:X15)</f>
        <v>759</v>
      </c>
      <c r="Y51" s="9">
        <f>SUM([4]Tabelle2!Y13:Y15)</f>
        <v>725</v>
      </c>
      <c r="Z51" s="13">
        <f>SUM([4]Tabelle2!Z13:Z15)</f>
        <v>717</v>
      </c>
      <c r="AA51" s="9">
        <f>SUM([4]Tabelle2!AA13:AA15)</f>
        <v>701</v>
      </c>
      <c r="AB51" s="9">
        <f>SUM([4]Tabelle2!AB13:AB15)</f>
        <v>700</v>
      </c>
      <c r="AC51" s="9">
        <f>SUM([4]Tabelle2!AC13:AC15)</f>
        <v>692</v>
      </c>
      <c r="AD51" s="9">
        <f>282+215+233</f>
        <v>730</v>
      </c>
      <c r="AE51" s="9">
        <v>810</v>
      </c>
      <c r="AF51" s="9">
        <v>800</v>
      </c>
      <c r="AG51" s="9">
        <v>743</v>
      </c>
      <c r="AH51" s="9">
        <v>682</v>
      </c>
      <c r="AI51" s="9">
        <v>579</v>
      </c>
      <c r="AJ51" s="9">
        <v>618</v>
      </c>
      <c r="AK51" s="9">
        <v>564</v>
      </c>
      <c r="AL51" s="13">
        <v>581</v>
      </c>
      <c r="AM51" s="9">
        <v>541</v>
      </c>
      <c r="AN51" s="9">
        <v>525</v>
      </c>
      <c r="AO51" s="9">
        <v>512</v>
      </c>
      <c r="AP51" s="9">
        <v>547</v>
      </c>
      <c r="AQ51" s="9">
        <v>605</v>
      </c>
      <c r="AR51" s="9">
        <v>635</v>
      </c>
      <c r="AS51" s="9">
        <v>599</v>
      </c>
      <c r="AT51" s="9">
        <v>524</v>
      </c>
      <c r="AU51" s="9">
        <v>458</v>
      </c>
      <c r="AV51" s="9">
        <v>489</v>
      </c>
      <c r="AW51" s="9">
        <v>467</v>
      </c>
      <c r="AX51" s="13">
        <v>514</v>
      </c>
      <c r="AY51" s="9">
        <v>455</v>
      </c>
      <c r="AZ51" s="9">
        <v>425</v>
      </c>
      <c r="BA51" s="9">
        <v>490</v>
      </c>
      <c r="BB51" s="9">
        <v>502</v>
      </c>
      <c r="BC51" s="9">
        <v>553</v>
      </c>
      <c r="BD51" s="9">
        <v>550</v>
      </c>
      <c r="BE51" s="9">
        <v>480</v>
      </c>
      <c r="BF51" s="9">
        <v>468</v>
      </c>
      <c r="BG51" s="9">
        <v>432</v>
      </c>
      <c r="BH51" s="9">
        <v>451</v>
      </c>
      <c r="BI51" s="9">
        <v>448</v>
      </c>
      <c r="BJ51" s="13">
        <v>454</v>
      </c>
      <c r="BK51" s="9">
        <v>405</v>
      </c>
      <c r="BL51" s="9">
        <v>385</v>
      </c>
      <c r="BM51" s="9">
        <v>425</v>
      </c>
      <c r="BN51" s="9">
        <v>464</v>
      </c>
      <c r="BO51" s="9">
        <v>584</v>
      </c>
      <c r="BP51" s="9">
        <v>671</v>
      </c>
      <c r="BQ51" s="9">
        <v>739</v>
      </c>
      <c r="BR51" s="9">
        <v>904</v>
      </c>
      <c r="BS51" s="9">
        <v>907</v>
      </c>
      <c r="BT51" s="9">
        <v>1073</v>
      </c>
      <c r="BU51" s="9">
        <v>1063</v>
      </c>
      <c r="BV51" s="13">
        <v>1109</v>
      </c>
      <c r="BW51" s="9">
        <v>1014</v>
      </c>
      <c r="BX51" s="9">
        <v>943</v>
      </c>
      <c r="BY51" s="9">
        <v>908</v>
      </c>
      <c r="BZ51" s="9">
        <v>900</v>
      </c>
      <c r="CA51" s="9">
        <v>955</v>
      </c>
      <c r="CB51" s="9">
        <v>927</v>
      </c>
      <c r="CC51" s="9">
        <v>938</v>
      </c>
      <c r="CD51" s="9">
        <v>919</v>
      </c>
      <c r="CE51" s="9">
        <v>784</v>
      </c>
      <c r="CF51" s="9">
        <v>804</v>
      </c>
      <c r="CG51" s="9">
        <v>731</v>
      </c>
      <c r="CH51" s="13">
        <v>654</v>
      </c>
      <c r="CI51" s="9">
        <v>599</v>
      </c>
      <c r="CJ51" s="9">
        <v>526</v>
      </c>
      <c r="CK51" s="9">
        <v>508</v>
      </c>
      <c r="CL51" s="9">
        <v>523</v>
      </c>
      <c r="CM51" s="9">
        <v>547</v>
      </c>
      <c r="CN51" s="9">
        <v>519</v>
      </c>
      <c r="CO51" s="9">
        <v>488</v>
      </c>
      <c r="CP51" s="9">
        <v>500</v>
      </c>
      <c r="CQ51" s="9">
        <v>443</v>
      </c>
      <c r="CR51" s="9">
        <v>467</v>
      </c>
      <c r="CS51" s="9">
        <v>439</v>
      </c>
      <c r="CT51" s="13">
        <v>468</v>
      </c>
      <c r="CU51" s="9">
        <v>437</v>
      </c>
      <c r="CV51" s="9">
        <v>421</v>
      </c>
      <c r="CW51" s="9">
        <v>457</v>
      </c>
      <c r="CX51" s="9">
        <v>514</v>
      </c>
      <c r="CY51" s="9">
        <v>573</v>
      </c>
      <c r="CZ51" s="9">
        <v>633</v>
      </c>
      <c r="DA51" s="9">
        <v>677</v>
      </c>
      <c r="DB51" s="9">
        <v>683</v>
      </c>
      <c r="DC51" s="9">
        <v>651</v>
      </c>
      <c r="DD51" s="9">
        <v>620</v>
      </c>
      <c r="DE51" s="9">
        <v>560</v>
      </c>
      <c r="DF51" s="13">
        <v>588</v>
      </c>
      <c r="DG51" s="9">
        <v>555</v>
      </c>
      <c r="DH51" s="9">
        <v>546</v>
      </c>
      <c r="DI51" s="9">
        <v>601</v>
      </c>
      <c r="DJ51" s="9">
        <v>607</v>
      </c>
      <c r="DK51" s="9">
        <v>670</v>
      </c>
      <c r="DL51" s="9">
        <v>722</v>
      </c>
      <c r="DM51" s="9">
        <v>701</v>
      </c>
      <c r="DN51" s="9">
        <v>763</v>
      </c>
      <c r="DO51" s="9">
        <v>694</v>
      </c>
      <c r="DP51" s="9">
        <v>654</v>
      </c>
      <c r="DQ51" s="9">
        <v>603</v>
      </c>
      <c r="DR51" s="13">
        <v>617</v>
      </c>
      <c r="DS51" s="9">
        <v>589</v>
      </c>
      <c r="DT51" s="9">
        <v>597</v>
      </c>
      <c r="DU51" s="9">
        <v>627</v>
      </c>
      <c r="DV51" s="9">
        <v>612</v>
      </c>
      <c r="DW51" s="9">
        <v>597</v>
      </c>
      <c r="DX51" s="9">
        <v>610</v>
      </c>
      <c r="DY51" s="9">
        <v>574</v>
      </c>
      <c r="DZ51" s="9">
        <v>646</v>
      </c>
      <c r="EA51" s="9">
        <v>561</v>
      </c>
      <c r="EB51" s="9">
        <v>514</v>
      </c>
      <c r="EC51" s="9">
        <v>541</v>
      </c>
      <c r="ED51" s="13">
        <v>566</v>
      </c>
      <c r="EE51" s="9">
        <v>529</v>
      </c>
      <c r="EF51" s="9">
        <v>514</v>
      </c>
      <c r="EG51" s="9">
        <v>543</v>
      </c>
      <c r="EH51" s="9">
        <v>540</v>
      </c>
      <c r="EI51" s="9">
        <v>600</v>
      </c>
      <c r="EJ51" s="9">
        <v>597</v>
      </c>
      <c r="EK51" s="9">
        <v>611</v>
      </c>
      <c r="EL51" s="9">
        <v>679</v>
      </c>
      <c r="EM51" s="9">
        <v>647</v>
      </c>
      <c r="EN51" s="9">
        <v>663</v>
      </c>
      <c r="EO51" s="9">
        <v>659</v>
      </c>
      <c r="EP51" s="13">
        <v>685</v>
      </c>
      <c r="EQ51" s="9">
        <v>699</v>
      </c>
      <c r="ER51" s="9">
        <v>714</v>
      </c>
      <c r="ES51" s="9">
        <v>684</v>
      </c>
      <c r="ET51" s="9">
        <v>728</v>
      </c>
      <c r="EU51" s="9">
        <v>794</v>
      </c>
      <c r="EV51" s="9">
        <v>761</v>
      </c>
      <c r="EW51" s="9">
        <v>843</v>
      </c>
      <c r="EX51" s="9">
        <v>871</v>
      </c>
      <c r="EY51" s="9">
        <v>809</v>
      </c>
      <c r="EZ51" s="9">
        <v>796</v>
      </c>
      <c r="FA51" s="9">
        <v>716</v>
      </c>
      <c r="FB51" s="13">
        <v>727</v>
      </c>
      <c r="FC51" s="35">
        <v>751</v>
      </c>
      <c r="FD51" s="36">
        <v>749</v>
      </c>
      <c r="FE51" s="36">
        <v>749</v>
      </c>
      <c r="FF51" s="33">
        <v>729</v>
      </c>
      <c r="FG51" s="36">
        <v>738</v>
      </c>
      <c r="FH51" s="36">
        <v>725</v>
      </c>
      <c r="FI51" s="36">
        <v>764</v>
      </c>
      <c r="FJ51" s="36">
        <v>743</v>
      </c>
      <c r="FK51" s="36">
        <v>714</v>
      </c>
      <c r="FL51" s="1">
        <v>723</v>
      </c>
      <c r="FM51" s="1">
        <v>690</v>
      </c>
      <c r="FN51" s="6">
        <v>720</v>
      </c>
      <c r="FO51" s="1">
        <v>668</v>
      </c>
      <c r="FP51" s="1">
        <v>654</v>
      </c>
      <c r="FQ51" s="1">
        <v>646</v>
      </c>
      <c r="FR51" s="1">
        <v>678</v>
      </c>
      <c r="FS51" s="1">
        <v>687</v>
      </c>
      <c r="FT51" s="1">
        <v>707</v>
      </c>
      <c r="FU51" s="1">
        <v>686</v>
      </c>
      <c r="FV51" s="1">
        <v>728</v>
      </c>
      <c r="FW51" s="1">
        <v>629</v>
      </c>
      <c r="FX51" s="1">
        <v>622</v>
      </c>
      <c r="FY51" s="1">
        <v>575</v>
      </c>
      <c r="FZ51" s="1">
        <v>586</v>
      </c>
      <c r="GA51" s="48">
        <v>544</v>
      </c>
      <c r="GB51" s="1">
        <v>505</v>
      </c>
      <c r="GC51" s="1">
        <v>517</v>
      </c>
      <c r="GD51" s="1">
        <v>561</v>
      </c>
      <c r="GE51" s="1">
        <v>581</v>
      </c>
      <c r="GF51" s="1">
        <v>620</v>
      </c>
      <c r="GG51" s="1">
        <v>616</v>
      </c>
      <c r="GH51" s="1">
        <v>624</v>
      </c>
      <c r="GI51" s="1">
        <v>543</v>
      </c>
      <c r="GJ51" s="1">
        <v>528</v>
      </c>
      <c r="GK51" s="1">
        <v>503</v>
      </c>
      <c r="GL51" s="1">
        <v>558</v>
      </c>
      <c r="GM51" s="48">
        <v>552</v>
      </c>
      <c r="GN51" s="1">
        <v>545</v>
      </c>
      <c r="GO51" s="1">
        <v>560</v>
      </c>
      <c r="GP51" s="1">
        <v>570</v>
      </c>
      <c r="GQ51" s="1">
        <v>707</v>
      </c>
      <c r="GR51" s="1">
        <v>792</v>
      </c>
      <c r="GS51" s="1">
        <v>875</v>
      </c>
      <c r="GT51" s="1">
        <v>967</v>
      </c>
      <c r="GU51" s="1">
        <v>865</v>
      </c>
      <c r="GV51" s="1">
        <v>933</v>
      </c>
      <c r="GW51" s="1">
        <v>912</v>
      </c>
      <c r="GX51" s="6">
        <v>1048</v>
      </c>
      <c r="GY51" s="1">
        <v>1026</v>
      </c>
      <c r="GZ51" s="1">
        <v>1008</v>
      </c>
      <c r="HA51" s="1">
        <v>927</v>
      </c>
      <c r="HB51" s="1">
        <v>922</v>
      </c>
      <c r="HC51" s="1">
        <v>975</v>
      </c>
      <c r="HD51" s="1">
        <v>970</v>
      </c>
      <c r="HE51" s="1">
        <v>964</v>
      </c>
      <c r="HF51" s="1">
        <v>970</v>
      </c>
      <c r="HG51" s="1">
        <v>827</v>
      </c>
      <c r="HH51" s="1">
        <v>777</v>
      </c>
      <c r="HI51" s="1">
        <v>716</v>
      </c>
      <c r="HJ51" s="1">
        <v>661</v>
      </c>
      <c r="HK51" s="48">
        <v>638</v>
      </c>
      <c r="HL51" s="1">
        <v>575</v>
      </c>
      <c r="HM51" s="1">
        <v>509</v>
      </c>
      <c r="HN51" s="1">
        <v>483</v>
      </c>
      <c r="HO51" s="1">
        <v>532</v>
      </c>
      <c r="HP51" s="1">
        <v>543</v>
      </c>
      <c r="HQ51" s="1">
        <v>610</v>
      </c>
      <c r="HR51" s="1">
        <v>617</v>
      </c>
      <c r="HS51" s="1">
        <v>566</v>
      </c>
      <c r="HT51" s="1">
        <v>550</v>
      </c>
      <c r="HU51" s="1">
        <v>617</v>
      </c>
      <c r="HV51" s="1">
        <v>488</v>
      </c>
      <c r="HW51" s="48">
        <v>429</v>
      </c>
      <c r="HX51" s="1">
        <v>400</v>
      </c>
      <c r="HY51" s="1">
        <v>374</v>
      </c>
      <c r="HZ51" s="1">
        <v>401</v>
      </c>
      <c r="IA51" s="1">
        <v>404</v>
      </c>
      <c r="IB51" s="1">
        <v>449</v>
      </c>
      <c r="IC51" s="1">
        <v>495</v>
      </c>
      <c r="ID51" s="1">
        <v>507</v>
      </c>
      <c r="IE51" s="1">
        <v>508</v>
      </c>
      <c r="IF51" s="1">
        <v>521</v>
      </c>
      <c r="IG51" s="1">
        <v>501</v>
      </c>
      <c r="IH51" s="1">
        <v>522</v>
      </c>
      <c r="II51" s="48">
        <v>465</v>
      </c>
      <c r="IJ51" s="1">
        <v>445</v>
      </c>
      <c r="IK51" s="1">
        <v>492</v>
      </c>
      <c r="IL51" s="1">
        <v>541</v>
      </c>
      <c r="IM51" s="1">
        <v>572</v>
      </c>
      <c r="IN51" s="1">
        <v>614</v>
      </c>
      <c r="IO51" s="1">
        <v>641</v>
      </c>
      <c r="IP51" s="1">
        <v>721</v>
      </c>
      <c r="IQ51" s="1">
        <v>704</v>
      </c>
      <c r="IR51" s="1">
        <v>676</v>
      </c>
      <c r="IS51" s="1">
        <v>652</v>
      </c>
      <c r="IT51" s="6">
        <v>696</v>
      </c>
      <c r="IU51" s="1">
        <v>689</v>
      </c>
      <c r="IV51" s="1">
        <v>675</v>
      </c>
      <c r="IW51" s="1">
        <v>741</v>
      </c>
      <c r="IX51" s="1">
        <v>729</v>
      </c>
      <c r="IY51" s="1">
        <v>813</v>
      </c>
      <c r="IZ51" s="1">
        <v>857</v>
      </c>
      <c r="JA51" s="1">
        <v>854</v>
      </c>
      <c r="JB51" s="1">
        <v>998</v>
      </c>
      <c r="JC51" s="1">
        <v>919</v>
      </c>
      <c r="JD51" s="1">
        <v>904</v>
      </c>
      <c r="JE51" s="1">
        <v>827</v>
      </c>
      <c r="JF51" s="1">
        <v>889</v>
      </c>
      <c r="JG51" s="48">
        <v>819</v>
      </c>
      <c r="JH51" s="1">
        <v>790</v>
      </c>
      <c r="JI51" s="1">
        <v>809</v>
      </c>
    </row>
    <row r="52" spans="1:269" ht="13.5" x14ac:dyDescent="0.25">
      <c r="A52" s="17" t="s">
        <v>21</v>
      </c>
      <c r="B52" s="1">
        <v>38</v>
      </c>
      <c r="C52" s="9">
        <f>SUM([4]Tabelle2!C16:C27)</f>
        <v>1854</v>
      </c>
      <c r="D52" s="9">
        <f>SUM([4]Tabelle2!D16:D27)</f>
        <v>1914</v>
      </c>
      <c r="E52" s="9">
        <f>SUM([4]Tabelle2!E16:E27)</f>
        <v>1951</v>
      </c>
      <c r="F52" s="9">
        <f>SUM([4]Tabelle2!F16:F27)</f>
        <v>1974</v>
      </c>
      <c r="G52" s="9">
        <f>SUM([4]Tabelle2!G16:G27)</f>
        <v>1940</v>
      </c>
      <c r="H52" s="9">
        <f>SUM([4]Tabelle2!H16:H27)</f>
        <v>1990</v>
      </c>
      <c r="I52" s="9">
        <f>SUM([4]Tabelle2!I16:I27)</f>
        <v>2029</v>
      </c>
      <c r="J52" s="9">
        <f>SUM([4]Tabelle2!J16:J27)</f>
        <v>2091</v>
      </c>
      <c r="K52" s="9">
        <f>SUM([4]Tabelle2!K16:K27)</f>
        <v>2092</v>
      </c>
      <c r="L52" s="9">
        <f>SUM([4]Tabelle2!L16:L27)</f>
        <v>2072</v>
      </c>
      <c r="M52" s="9">
        <f>SUM([4]Tabelle2!M16:M27)</f>
        <v>2116</v>
      </c>
      <c r="N52" s="13">
        <f>SUM([4]Tabelle2!N16:N27)</f>
        <v>2124</v>
      </c>
      <c r="O52" s="9">
        <f>SUM([4]Tabelle2!O16:O27)</f>
        <v>2096</v>
      </c>
      <c r="P52" s="9">
        <f>SUM([4]Tabelle2!P16:P27)</f>
        <v>2123</v>
      </c>
      <c r="Q52" s="9">
        <f>SUM([4]Tabelle2!Q16:Q27)</f>
        <v>2098</v>
      </c>
      <c r="R52" s="9">
        <f>SUM([4]Tabelle2!R16:R27)</f>
        <v>2057</v>
      </c>
      <c r="S52" s="9">
        <f>SUM([4]Tabelle2!S16:S27)</f>
        <v>2057</v>
      </c>
      <c r="T52" s="9">
        <f>SUM([4]Tabelle2!T16:T27)</f>
        <v>2025</v>
      </c>
      <c r="U52" s="9">
        <f>SUM([4]Tabelle2!U16:U27)</f>
        <v>2045</v>
      </c>
      <c r="V52" s="9">
        <f>SUM([4]Tabelle2!V16:V27)</f>
        <v>2063</v>
      </c>
      <c r="W52" s="9">
        <f>SUM([4]Tabelle2!W16:W27)</f>
        <v>1983</v>
      </c>
      <c r="X52" s="9">
        <f>SUM([4]Tabelle2!X16:X27)</f>
        <v>2009</v>
      </c>
      <c r="Y52" s="9">
        <f>SUM([4]Tabelle2!Y16:Y27)</f>
        <v>2038</v>
      </c>
      <c r="Z52" s="13">
        <f>SUM([4]Tabelle2!Z16:Z27)</f>
        <v>2034</v>
      </c>
      <c r="AA52" s="9">
        <f>SUM([4]Tabelle2!AA16:AA27)</f>
        <v>2032</v>
      </c>
      <c r="AB52" s="9">
        <f>SUM([4]Tabelle2!AB16:AB27)</f>
        <v>1996</v>
      </c>
      <c r="AC52" s="9">
        <f>SUM([4]Tabelle2!AC16:AC27)</f>
        <v>1977</v>
      </c>
      <c r="AD52" s="9">
        <f>1463+339+112+43+11+1+2+1+2+1</f>
        <v>1975</v>
      </c>
      <c r="AE52" s="9">
        <v>1931</v>
      </c>
      <c r="AF52" s="9">
        <v>1953</v>
      </c>
      <c r="AG52" s="9">
        <v>1967</v>
      </c>
      <c r="AH52" s="9">
        <v>1951</v>
      </c>
      <c r="AI52" s="9">
        <v>1918</v>
      </c>
      <c r="AJ52" s="9">
        <v>1828</v>
      </c>
      <c r="AK52" s="9">
        <v>1791</v>
      </c>
      <c r="AL52" s="13">
        <v>1789</v>
      </c>
      <c r="AM52" s="9">
        <v>1730</v>
      </c>
      <c r="AN52" s="9">
        <v>1699</v>
      </c>
      <c r="AO52" s="9">
        <v>1682</v>
      </c>
      <c r="AP52" s="9">
        <v>1604</v>
      </c>
      <c r="AQ52" s="9">
        <v>1571</v>
      </c>
      <c r="AR52" s="9">
        <v>1556</v>
      </c>
      <c r="AS52" s="9">
        <v>1532</v>
      </c>
      <c r="AT52" s="9">
        <v>1455</v>
      </c>
      <c r="AU52" s="9">
        <v>1422</v>
      </c>
      <c r="AV52" s="9">
        <v>1397</v>
      </c>
      <c r="AW52" s="9">
        <v>1394</v>
      </c>
      <c r="AX52" s="13">
        <v>1389</v>
      </c>
      <c r="AY52" s="9">
        <v>1394</v>
      </c>
      <c r="AZ52" s="9">
        <v>1327</v>
      </c>
      <c r="BA52" s="9">
        <v>1306</v>
      </c>
      <c r="BB52" s="9">
        <v>1259</v>
      </c>
      <c r="BC52" s="9">
        <v>1230</v>
      </c>
      <c r="BD52" s="9">
        <v>1193</v>
      </c>
      <c r="BE52" s="9">
        <v>1228</v>
      </c>
      <c r="BF52" s="9">
        <v>1197</v>
      </c>
      <c r="BG52" s="9">
        <v>1166</v>
      </c>
      <c r="BH52" s="9">
        <v>1137</v>
      </c>
      <c r="BI52" s="9">
        <v>1117</v>
      </c>
      <c r="BJ52" s="13">
        <v>1132</v>
      </c>
      <c r="BK52" s="9">
        <v>1167</v>
      </c>
      <c r="BL52" s="9">
        <v>1180</v>
      </c>
      <c r="BM52" s="9">
        <v>1190</v>
      </c>
      <c r="BN52" s="9">
        <v>1204</v>
      </c>
      <c r="BO52" s="9">
        <v>1238</v>
      </c>
      <c r="BP52" s="9">
        <v>1311</v>
      </c>
      <c r="BQ52" s="9">
        <v>1345</v>
      </c>
      <c r="BR52" s="9">
        <v>1398</v>
      </c>
      <c r="BS52" s="9">
        <v>1438</v>
      </c>
      <c r="BT52" s="9">
        <v>1526</v>
      </c>
      <c r="BU52" s="9">
        <v>1668</v>
      </c>
      <c r="BV52" s="13">
        <v>1858</v>
      </c>
      <c r="BW52" s="9">
        <v>2015</v>
      </c>
      <c r="BX52" s="9">
        <v>2143</v>
      </c>
      <c r="BY52" s="9">
        <v>2301</v>
      </c>
      <c r="BZ52" s="9">
        <v>2306</v>
      </c>
      <c r="CA52" s="9">
        <v>2337</v>
      </c>
      <c r="CB52" s="9">
        <v>2425</v>
      </c>
      <c r="CC52" s="9">
        <v>2416</v>
      </c>
      <c r="CD52" s="9">
        <v>2397</v>
      </c>
      <c r="CE52" s="9">
        <v>2373</v>
      </c>
      <c r="CF52" s="9">
        <v>2350</v>
      </c>
      <c r="CG52" s="9">
        <v>2336</v>
      </c>
      <c r="CH52" s="13">
        <v>2344</v>
      </c>
      <c r="CI52" s="9">
        <v>2271</v>
      </c>
      <c r="CJ52" s="9">
        <v>2200</v>
      </c>
      <c r="CK52" s="9">
        <v>2112</v>
      </c>
      <c r="CL52" s="9">
        <v>1874</v>
      </c>
      <c r="CM52" s="9">
        <v>1671</v>
      </c>
      <c r="CN52" s="9">
        <v>1602</v>
      </c>
      <c r="CO52" s="9">
        <v>1474</v>
      </c>
      <c r="CP52" s="9">
        <v>1448</v>
      </c>
      <c r="CQ52" s="9">
        <v>1368</v>
      </c>
      <c r="CR52" s="9">
        <v>1305</v>
      </c>
      <c r="CS52" s="9">
        <v>1302</v>
      </c>
      <c r="CT52" s="13">
        <v>1291</v>
      </c>
      <c r="CU52" s="9">
        <v>1276</v>
      </c>
      <c r="CV52" s="9">
        <v>1241</v>
      </c>
      <c r="CW52" s="9">
        <v>1219</v>
      </c>
      <c r="CX52" s="9">
        <v>1198</v>
      </c>
      <c r="CY52" s="9">
        <v>1199</v>
      </c>
      <c r="CZ52" s="9">
        <v>1217</v>
      </c>
      <c r="DA52" s="9">
        <v>1195</v>
      </c>
      <c r="DB52" s="9">
        <v>1247</v>
      </c>
      <c r="DC52" s="9">
        <v>1276</v>
      </c>
      <c r="DD52" s="9">
        <v>1303</v>
      </c>
      <c r="DE52" s="9">
        <v>1392</v>
      </c>
      <c r="DF52" s="13">
        <v>1450</v>
      </c>
      <c r="DG52" s="9">
        <v>1475</v>
      </c>
      <c r="DH52" s="9">
        <v>1475</v>
      </c>
      <c r="DI52" s="9">
        <v>1461</v>
      </c>
      <c r="DJ52" s="9">
        <v>1463</v>
      </c>
      <c r="DK52" s="9">
        <v>1406</v>
      </c>
      <c r="DL52" s="9">
        <v>1411</v>
      </c>
      <c r="DM52" s="9">
        <v>1362</v>
      </c>
      <c r="DN52" s="9">
        <v>1346</v>
      </c>
      <c r="DO52" s="9">
        <v>1348</v>
      </c>
      <c r="DP52" s="9">
        <v>1406</v>
      </c>
      <c r="DQ52" s="9">
        <v>1430</v>
      </c>
      <c r="DR52" s="13">
        <v>1435</v>
      </c>
      <c r="DS52" s="9">
        <v>1446</v>
      </c>
      <c r="DT52" s="9">
        <v>1421</v>
      </c>
      <c r="DU52" s="9">
        <v>1411</v>
      </c>
      <c r="DV52" s="9">
        <v>1412</v>
      </c>
      <c r="DW52" s="9">
        <v>1409</v>
      </c>
      <c r="DX52" s="9">
        <v>1411</v>
      </c>
      <c r="DY52" s="9">
        <v>1373</v>
      </c>
      <c r="DZ52" s="9">
        <v>1279</v>
      </c>
      <c r="EA52" s="9">
        <v>1269</v>
      </c>
      <c r="EB52" s="9">
        <v>1275</v>
      </c>
      <c r="EC52" s="9">
        <v>1292</v>
      </c>
      <c r="ED52" s="13">
        <v>1284</v>
      </c>
      <c r="EE52" s="9">
        <v>1256</v>
      </c>
      <c r="EF52" s="9">
        <v>1277</v>
      </c>
      <c r="EG52" s="9">
        <v>1272</v>
      </c>
      <c r="EH52" s="9">
        <v>1257</v>
      </c>
      <c r="EI52" s="9">
        <v>1246</v>
      </c>
      <c r="EJ52" s="9">
        <v>1268</v>
      </c>
      <c r="EK52" s="9">
        <v>1303</v>
      </c>
      <c r="EL52" s="9">
        <v>1265</v>
      </c>
      <c r="EM52" s="9">
        <v>1280</v>
      </c>
      <c r="EN52" s="9">
        <v>1319</v>
      </c>
      <c r="EO52" s="9">
        <v>1369</v>
      </c>
      <c r="EP52" s="13">
        <v>1440</v>
      </c>
      <c r="EQ52" s="9">
        <v>1454</v>
      </c>
      <c r="ER52" s="9">
        <v>1468</v>
      </c>
      <c r="ES52" s="9">
        <v>1521</v>
      </c>
      <c r="ET52" s="9">
        <v>1521</v>
      </c>
      <c r="EU52" s="9">
        <v>1551</v>
      </c>
      <c r="EV52" s="9">
        <v>1562</v>
      </c>
      <c r="EW52" s="9">
        <v>1562</v>
      </c>
      <c r="EX52" s="9">
        <v>1596</v>
      </c>
      <c r="EY52" s="9">
        <v>1659</v>
      </c>
      <c r="EZ52" s="9">
        <v>1716</v>
      </c>
      <c r="FA52" s="9">
        <v>1798</v>
      </c>
      <c r="FB52" s="13">
        <v>1820</v>
      </c>
      <c r="FC52" s="35">
        <v>1821</v>
      </c>
      <c r="FD52" s="36">
        <v>1844</v>
      </c>
      <c r="FE52" s="36">
        <v>1811</v>
      </c>
      <c r="FF52" s="33">
        <v>1838</v>
      </c>
      <c r="FG52" s="36">
        <v>1862</v>
      </c>
      <c r="FH52" s="36">
        <v>1869</v>
      </c>
      <c r="FI52" s="36">
        <v>1815</v>
      </c>
      <c r="FJ52" s="36">
        <v>1822</v>
      </c>
      <c r="FK52" s="36">
        <v>1791</v>
      </c>
      <c r="FL52" s="1">
        <v>1807</v>
      </c>
      <c r="FM52" s="1">
        <v>1836</v>
      </c>
      <c r="FN52" s="6">
        <v>1806</v>
      </c>
      <c r="FO52" s="1">
        <v>1785</v>
      </c>
      <c r="FP52" s="1">
        <v>1762</v>
      </c>
      <c r="FQ52" s="1">
        <v>1799</v>
      </c>
      <c r="FR52" s="1">
        <v>1762</v>
      </c>
      <c r="FS52" s="1">
        <v>1706</v>
      </c>
      <c r="FT52" s="1">
        <v>1556</v>
      </c>
      <c r="FU52" s="1">
        <v>1530</v>
      </c>
      <c r="FV52" s="1">
        <v>1462</v>
      </c>
      <c r="FW52" s="1">
        <v>1468</v>
      </c>
      <c r="FX52" s="1">
        <v>1421</v>
      </c>
      <c r="FY52" s="1">
        <v>1435</v>
      </c>
      <c r="FZ52" s="1">
        <v>1440</v>
      </c>
      <c r="GA52" s="48">
        <v>1423</v>
      </c>
      <c r="GB52" s="1">
        <v>1396</v>
      </c>
      <c r="GC52" s="1">
        <v>1366</v>
      </c>
      <c r="GD52" s="1">
        <v>1306</v>
      </c>
      <c r="GE52" s="1">
        <v>1272</v>
      </c>
      <c r="GF52" s="1">
        <v>1274</v>
      </c>
      <c r="GG52" s="1">
        <v>1272</v>
      </c>
      <c r="GH52" s="1">
        <v>1221</v>
      </c>
      <c r="GI52" s="1">
        <v>1223</v>
      </c>
      <c r="GJ52" s="1">
        <v>1225</v>
      </c>
      <c r="GK52" s="1">
        <v>1250</v>
      </c>
      <c r="GL52" s="1">
        <v>1242</v>
      </c>
      <c r="GM52" s="48">
        <v>1228</v>
      </c>
      <c r="GN52" s="1">
        <v>1247</v>
      </c>
      <c r="GO52" s="1">
        <v>1300</v>
      </c>
      <c r="GP52" s="1">
        <v>1372</v>
      </c>
      <c r="GQ52" s="1">
        <v>1468</v>
      </c>
      <c r="GR52" s="1">
        <v>1575</v>
      </c>
      <c r="GS52" s="1">
        <v>1672</v>
      </c>
      <c r="GT52" s="1">
        <v>1770</v>
      </c>
      <c r="GU52" s="1">
        <v>1902</v>
      </c>
      <c r="GV52" s="1">
        <v>2022</v>
      </c>
      <c r="GW52" s="1">
        <v>2143</v>
      </c>
      <c r="GX52" s="6">
        <v>2277</v>
      </c>
      <c r="GY52" s="1">
        <v>2409</v>
      </c>
      <c r="GZ52" s="1">
        <v>2465</v>
      </c>
      <c r="HA52" s="1">
        <v>2633</v>
      </c>
      <c r="HB52" s="1">
        <v>2725</v>
      </c>
      <c r="HC52" s="1">
        <v>2798</v>
      </c>
      <c r="HD52" s="1">
        <v>2852</v>
      </c>
      <c r="HE52" s="1">
        <v>2891</v>
      </c>
      <c r="HF52" s="1">
        <v>2842</v>
      </c>
      <c r="HG52" s="1">
        <v>2831</v>
      </c>
      <c r="HH52" s="1">
        <v>2778</v>
      </c>
      <c r="HI52" s="1">
        <v>2770</v>
      </c>
      <c r="HJ52" s="1">
        <v>2734</v>
      </c>
      <c r="HK52" s="48">
        <v>2644</v>
      </c>
      <c r="HL52" s="1">
        <v>2585</v>
      </c>
      <c r="HM52" s="1">
        <v>2514</v>
      </c>
      <c r="HN52" s="1">
        <v>2395</v>
      </c>
      <c r="HO52" s="1">
        <v>2273</v>
      </c>
      <c r="HP52" s="1">
        <v>2150</v>
      </c>
      <c r="HQ52" s="1">
        <v>1977</v>
      </c>
      <c r="HR52" s="1">
        <v>1901</v>
      </c>
      <c r="HS52" s="1">
        <v>1789</v>
      </c>
      <c r="HT52" s="1">
        <v>1728</v>
      </c>
      <c r="HU52" s="1">
        <v>1901</v>
      </c>
      <c r="HV52" s="1">
        <v>1596</v>
      </c>
      <c r="HW52" s="48">
        <v>1523</v>
      </c>
      <c r="HX52" s="1">
        <v>1471</v>
      </c>
      <c r="HY52" s="1">
        <v>1397</v>
      </c>
      <c r="HZ52" s="1">
        <v>1299</v>
      </c>
      <c r="IA52" s="1">
        <v>1246</v>
      </c>
      <c r="IB52" s="1">
        <v>1127</v>
      </c>
      <c r="IC52" s="1">
        <v>1091</v>
      </c>
      <c r="ID52" s="1">
        <v>1079</v>
      </c>
      <c r="IE52" s="1">
        <v>1061</v>
      </c>
      <c r="IF52" s="1">
        <v>1071</v>
      </c>
      <c r="IG52" s="1">
        <v>1071</v>
      </c>
      <c r="IH52" s="1">
        <v>1089</v>
      </c>
      <c r="II52" s="48">
        <v>1114</v>
      </c>
      <c r="IJ52" s="1">
        <v>1116</v>
      </c>
      <c r="IK52" s="1">
        <v>1101</v>
      </c>
      <c r="IL52" s="1">
        <v>1089</v>
      </c>
      <c r="IM52" s="1">
        <v>1100</v>
      </c>
      <c r="IN52" s="1">
        <v>1098</v>
      </c>
      <c r="IO52" s="1">
        <v>1141</v>
      </c>
      <c r="IP52" s="1">
        <v>1137</v>
      </c>
      <c r="IQ52" s="1">
        <v>1164</v>
      </c>
      <c r="IR52" s="1">
        <v>1250</v>
      </c>
      <c r="IS52" s="1">
        <v>1347</v>
      </c>
      <c r="IT52" s="6">
        <v>1357</v>
      </c>
      <c r="IU52" s="1">
        <v>1381</v>
      </c>
      <c r="IV52" s="1">
        <v>1424</v>
      </c>
      <c r="IW52" s="1">
        <v>1441</v>
      </c>
      <c r="IX52" s="1">
        <v>1476</v>
      </c>
      <c r="IY52" s="1">
        <v>1496</v>
      </c>
      <c r="IZ52" s="1">
        <v>1555</v>
      </c>
      <c r="JA52" s="1">
        <v>1609</v>
      </c>
      <c r="JB52" s="1">
        <v>1647</v>
      </c>
      <c r="JC52" s="1">
        <v>1709</v>
      </c>
      <c r="JD52" s="1">
        <v>1739</v>
      </c>
      <c r="JE52" s="1">
        <v>1855</v>
      </c>
      <c r="JF52" s="1">
        <v>1918</v>
      </c>
      <c r="JG52" s="48">
        <v>1912</v>
      </c>
      <c r="JH52" s="1">
        <v>1904</v>
      </c>
      <c r="JI52" s="1">
        <v>1923</v>
      </c>
    </row>
    <row r="53" spans="1:269" ht="14.25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3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3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13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13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13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13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13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13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13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13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13"/>
      <c r="EQ53" s="9"/>
      <c r="ER53" s="9"/>
      <c r="ES53" s="9"/>
      <c r="ET53" s="9"/>
      <c r="EU53" s="11"/>
      <c r="EV53" s="11"/>
      <c r="EW53" s="9"/>
      <c r="EX53" s="9"/>
      <c r="EY53" s="9"/>
      <c r="EZ53" s="9"/>
      <c r="FA53" s="9"/>
      <c r="FB53" s="13"/>
      <c r="FC53" s="9"/>
      <c r="FD53" s="36"/>
      <c r="FE53" s="36"/>
      <c r="FF53" s="33"/>
      <c r="FG53" s="36"/>
      <c r="FH53" s="36"/>
      <c r="FI53" s="36"/>
      <c r="FJ53" s="36"/>
      <c r="FK53" s="36"/>
      <c r="FN53" s="6"/>
      <c r="GA53" s="48"/>
      <c r="GM53" s="48"/>
      <c r="GX53" s="45"/>
      <c r="HK53" s="48"/>
      <c r="HW53" s="48"/>
      <c r="II53" s="48"/>
      <c r="IT53" s="6"/>
      <c r="JG53" s="48"/>
    </row>
    <row r="54" spans="1:269" ht="14.25" x14ac:dyDescent="0.25">
      <c r="A54" s="16" t="s">
        <v>9</v>
      </c>
      <c r="B54" s="8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5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5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5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5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5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5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5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5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5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5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5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5"/>
      <c r="EQ54" s="11"/>
      <c r="ER54" s="11"/>
      <c r="ES54" s="11"/>
      <c r="ET54" s="11"/>
      <c r="EU54" s="9"/>
      <c r="EV54" s="9"/>
      <c r="EW54" s="11"/>
      <c r="EX54" s="9"/>
      <c r="EY54" s="9"/>
      <c r="EZ54" s="9"/>
      <c r="FA54" s="9"/>
      <c r="FB54" s="13"/>
      <c r="FC54" s="9"/>
      <c r="FD54" s="36"/>
      <c r="FE54" s="36"/>
      <c r="FF54" s="33"/>
      <c r="FG54" s="36"/>
      <c r="FH54" s="36"/>
      <c r="FI54" s="36"/>
      <c r="FJ54" s="36"/>
      <c r="FK54" s="36"/>
      <c r="FN54" s="6"/>
      <c r="GA54" s="48"/>
      <c r="GM54" s="48"/>
      <c r="GX54" s="6"/>
      <c r="HK54" s="48"/>
      <c r="HW54" s="48"/>
      <c r="IH54" s="6"/>
      <c r="II54" s="48"/>
      <c r="IT54" s="6"/>
      <c r="JG54" s="48"/>
    </row>
    <row r="55" spans="1:269" ht="13.5" x14ac:dyDescent="0.25">
      <c r="A55" s="1" t="s">
        <v>6</v>
      </c>
      <c r="B55" s="1">
        <v>39</v>
      </c>
      <c r="C55" s="9">
        <v>200</v>
      </c>
      <c r="D55" s="9">
        <v>150</v>
      </c>
      <c r="E55" s="9">
        <v>177</v>
      </c>
      <c r="F55" s="9">
        <v>133</v>
      </c>
      <c r="G55" s="9">
        <v>167</v>
      </c>
      <c r="H55" s="9">
        <v>144</v>
      </c>
      <c r="I55" s="9">
        <v>160</v>
      </c>
      <c r="J55" s="9">
        <v>141</v>
      </c>
      <c r="K55" s="9">
        <v>144</v>
      </c>
      <c r="L55" s="9">
        <v>197</v>
      </c>
      <c r="M55" s="9">
        <v>232</v>
      </c>
      <c r="N55" s="13">
        <v>99</v>
      </c>
      <c r="O55" s="9">
        <v>158</v>
      </c>
      <c r="P55" s="9">
        <v>202</v>
      </c>
      <c r="Q55" s="9">
        <v>195</v>
      </c>
      <c r="R55" s="9">
        <v>185</v>
      </c>
      <c r="S55" s="9">
        <v>150</v>
      </c>
      <c r="T55" s="9">
        <v>173</v>
      </c>
      <c r="U55" s="9">
        <v>167</v>
      </c>
      <c r="V55" s="9">
        <v>204</v>
      </c>
      <c r="W55" s="9">
        <v>295</v>
      </c>
      <c r="X55" s="9">
        <v>162</v>
      </c>
      <c r="Y55" s="9">
        <v>152</v>
      </c>
      <c r="Z55" s="13">
        <v>105</v>
      </c>
      <c r="AA55" s="9">
        <v>179</v>
      </c>
      <c r="AB55" s="9">
        <v>240</v>
      </c>
      <c r="AC55" s="9">
        <v>218</v>
      </c>
      <c r="AD55" s="9">
        <v>129</v>
      </c>
      <c r="AE55" s="9">
        <v>210</v>
      </c>
      <c r="AF55" s="9">
        <v>163</v>
      </c>
      <c r="AG55" s="9">
        <v>168</v>
      </c>
      <c r="AH55" s="9">
        <v>159</v>
      </c>
      <c r="AI55" s="9">
        <v>188</v>
      </c>
      <c r="AJ55" s="9">
        <v>187</v>
      </c>
      <c r="AK55" s="9"/>
      <c r="AL55" s="13">
        <v>133</v>
      </c>
      <c r="AM55" s="9">
        <v>217</v>
      </c>
      <c r="AN55" s="9">
        <v>223</v>
      </c>
      <c r="AO55" s="9">
        <v>263</v>
      </c>
      <c r="AP55" s="9">
        <v>207</v>
      </c>
      <c r="AQ55" s="9">
        <v>236</v>
      </c>
      <c r="AR55" s="9">
        <v>229</v>
      </c>
      <c r="AS55" s="9">
        <v>224</v>
      </c>
      <c r="AT55" s="9">
        <v>187</v>
      </c>
      <c r="AU55" s="9">
        <v>152</v>
      </c>
      <c r="AV55" s="9">
        <v>221</v>
      </c>
      <c r="AW55" s="9">
        <v>206</v>
      </c>
      <c r="AX55" s="13">
        <v>113</v>
      </c>
      <c r="AY55" s="9">
        <v>191</v>
      </c>
      <c r="AZ55" s="9">
        <v>198</v>
      </c>
      <c r="BA55" s="9">
        <v>197</v>
      </c>
      <c r="BB55" s="9">
        <v>294</v>
      </c>
      <c r="BC55" s="9">
        <v>184</v>
      </c>
      <c r="BD55" s="9">
        <v>239</v>
      </c>
      <c r="BE55" s="9">
        <v>186</v>
      </c>
      <c r="BF55" s="9">
        <v>179</v>
      </c>
      <c r="BG55" s="9">
        <v>245</v>
      </c>
      <c r="BH55" s="9">
        <v>165</v>
      </c>
      <c r="BI55" s="9">
        <v>119</v>
      </c>
      <c r="BJ55" s="13">
        <v>102</v>
      </c>
      <c r="BK55" s="9">
        <v>177</v>
      </c>
      <c r="BL55" s="9">
        <v>195</v>
      </c>
      <c r="BM55" s="9">
        <v>352</v>
      </c>
      <c r="BN55" s="9">
        <v>145</v>
      </c>
      <c r="BO55" s="9">
        <v>167</v>
      </c>
      <c r="BP55" s="9">
        <v>100</v>
      </c>
      <c r="BQ55" s="9">
        <v>141</v>
      </c>
      <c r="BR55" s="9">
        <v>167</v>
      </c>
      <c r="BS55" s="9">
        <v>160</v>
      </c>
      <c r="BT55" s="9">
        <v>166</v>
      </c>
      <c r="BU55" s="9">
        <v>181</v>
      </c>
      <c r="BV55" s="13">
        <v>126</v>
      </c>
      <c r="BW55" s="9">
        <v>189</v>
      </c>
      <c r="BX55" s="9">
        <v>177</v>
      </c>
      <c r="BY55" s="9">
        <v>237</v>
      </c>
      <c r="BZ55" s="9">
        <v>268</v>
      </c>
      <c r="CA55" s="9">
        <v>205</v>
      </c>
      <c r="CB55" s="9">
        <v>245</v>
      </c>
      <c r="CC55" s="9">
        <v>223</v>
      </c>
      <c r="CD55" s="9">
        <v>214</v>
      </c>
      <c r="CE55" s="9">
        <v>176</v>
      </c>
      <c r="CF55" s="9">
        <v>218</v>
      </c>
      <c r="CG55" s="9">
        <v>186</v>
      </c>
      <c r="CH55" s="13">
        <v>138</v>
      </c>
      <c r="CI55" s="9">
        <v>208</v>
      </c>
      <c r="CJ55" s="9">
        <v>275</v>
      </c>
      <c r="CK55" s="9">
        <v>275</v>
      </c>
      <c r="CL55" s="9">
        <v>207</v>
      </c>
      <c r="CM55" s="9">
        <v>232</v>
      </c>
      <c r="CN55" s="9">
        <v>198</v>
      </c>
      <c r="CO55" s="9">
        <v>227</v>
      </c>
      <c r="CP55" s="9">
        <v>185</v>
      </c>
      <c r="CQ55" s="9">
        <v>186</v>
      </c>
      <c r="CR55" s="9">
        <v>152</v>
      </c>
      <c r="CS55" s="9">
        <v>173</v>
      </c>
      <c r="CT55" s="13">
        <v>111</v>
      </c>
      <c r="CU55" s="9">
        <v>209</v>
      </c>
      <c r="CV55" s="9">
        <v>232</v>
      </c>
      <c r="CW55" s="9">
        <v>209</v>
      </c>
      <c r="CX55" s="9">
        <v>163</v>
      </c>
      <c r="CY55" s="9">
        <v>233</v>
      </c>
      <c r="CZ55" s="9">
        <v>212</v>
      </c>
      <c r="DA55" s="9">
        <v>172</v>
      </c>
      <c r="DB55" s="9">
        <v>135</v>
      </c>
      <c r="DC55" s="9">
        <v>158</v>
      </c>
      <c r="DD55" s="9">
        <v>169</v>
      </c>
      <c r="DE55" s="9">
        <v>154</v>
      </c>
      <c r="DF55" s="13">
        <v>104</v>
      </c>
      <c r="DG55" s="9">
        <v>171</v>
      </c>
      <c r="DH55" s="9">
        <v>171</v>
      </c>
      <c r="DI55" s="9">
        <v>184</v>
      </c>
      <c r="DJ55" s="9">
        <v>154</v>
      </c>
      <c r="DK55" s="9">
        <v>189</v>
      </c>
      <c r="DL55" s="9">
        <v>205</v>
      </c>
      <c r="DM55" s="9">
        <v>156</v>
      </c>
      <c r="DN55" s="9">
        <v>149</v>
      </c>
      <c r="DO55" s="9">
        <v>167</v>
      </c>
      <c r="DP55" s="9">
        <v>156</v>
      </c>
      <c r="DQ55" s="9">
        <v>129</v>
      </c>
      <c r="DR55" s="13">
        <v>102</v>
      </c>
      <c r="DS55" s="9">
        <v>197</v>
      </c>
      <c r="DT55" s="9">
        <v>129</v>
      </c>
      <c r="DU55" s="9">
        <v>181</v>
      </c>
      <c r="DV55" s="9">
        <v>194</v>
      </c>
      <c r="DW55" s="9">
        <v>161</v>
      </c>
      <c r="DX55" s="9">
        <v>182</v>
      </c>
      <c r="DY55" s="9">
        <v>184</v>
      </c>
      <c r="DZ55" s="9">
        <v>142</v>
      </c>
      <c r="EA55" s="9">
        <v>131</v>
      </c>
      <c r="EB55" s="9">
        <v>138</v>
      </c>
      <c r="EC55" s="9">
        <v>116</v>
      </c>
      <c r="ED55" s="13">
        <v>86</v>
      </c>
      <c r="EE55" s="9">
        <v>185</v>
      </c>
      <c r="EF55" s="9">
        <v>141</v>
      </c>
      <c r="EG55" s="9">
        <v>153</v>
      </c>
      <c r="EH55" s="9">
        <v>135</v>
      </c>
      <c r="EI55" s="9">
        <v>128</v>
      </c>
      <c r="EJ55" s="9">
        <v>177</v>
      </c>
      <c r="EK55" s="9">
        <v>130</v>
      </c>
      <c r="EL55" s="9">
        <v>110</v>
      </c>
      <c r="EM55" s="9">
        <v>105</v>
      </c>
      <c r="EN55" s="9">
        <v>100</v>
      </c>
      <c r="EO55" s="9">
        <v>97</v>
      </c>
      <c r="EP55" s="13">
        <v>54</v>
      </c>
      <c r="EQ55" s="9">
        <v>177</v>
      </c>
      <c r="ER55" s="9">
        <v>105</v>
      </c>
      <c r="ES55" s="9">
        <v>107</v>
      </c>
      <c r="ET55" s="9">
        <v>84</v>
      </c>
      <c r="EU55" s="1">
        <v>111</v>
      </c>
      <c r="EV55" s="1">
        <v>111</v>
      </c>
      <c r="EW55" s="9">
        <v>118</v>
      </c>
      <c r="EX55" s="1">
        <v>106</v>
      </c>
      <c r="EY55" s="9">
        <v>139</v>
      </c>
      <c r="EZ55" s="30">
        <v>124</v>
      </c>
      <c r="FA55" s="30">
        <v>94</v>
      </c>
      <c r="FB55" s="13">
        <v>74</v>
      </c>
      <c r="FC55" s="9">
        <v>142</v>
      </c>
      <c r="FD55" s="36">
        <v>127</v>
      </c>
      <c r="FE55" s="36">
        <v>157</v>
      </c>
      <c r="FF55" s="33">
        <v>132</v>
      </c>
      <c r="FG55" s="36">
        <v>132</v>
      </c>
      <c r="FH55" s="36">
        <v>133</v>
      </c>
      <c r="FI55" s="36">
        <v>142</v>
      </c>
      <c r="FJ55" s="36">
        <v>134</v>
      </c>
      <c r="FK55" s="36">
        <v>151</v>
      </c>
      <c r="FL55" s="1">
        <v>145</v>
      </c>
      <c r="FM55" s="1">
        <v>135</v>
      </c>
      <c r="FN55" s="6">
        <v>89</v>
      </c>
      <c r="FO55" s="1">
        <v>181</v>
      </c>
      <c r="FP55" s="1">
        <v>167</v>
      </c>
      <c r="FQ55" s="1">
        <v>169</v>
      </c>
      <c r="FR55" s="1">
        <v>200</v>
      </c>
      <c r="FS55" s="1">
        <v>194</v>
      </c>
      <c r="FT55" s="1">
        <v>298</v>
      </c>
      <c r="FU55" s="1">
        <v>800</v>
      </c>
      <c r="FV55" s="1">
        <v>776</v>
      </c>
      <c r="FW55" s="1">
        <v>604</v>
      </c>
      <c r="FX55" s="1">
        <v>540</v>
      </c>
      <c r="FY55" s="1">
        <v>686</v>
      </c>
      <c r="FZ55" s="1">
        <v>413</v>
      </c>
      <c r="GA55" s="48">
        <v>739</v>
      </c>
      <c r="GB55" s="1">
        <v>589</v>
      </c>
      <c r="GC55" s="1">
        <v>745</v>
      </c>
      <c r="GD55" s="1">
        <v>662</v>
      </c>
      <c r="GE55" s="1">
        <v>760</v>
      </c>
      <c r="GF55" s="1">
        <v>838</v>
      </c>
      <c r="GG55" s="1">
        <v>798</v>
      </c>
      <c r="GH55" s="1">
        <v>710</v>
      </c>
      <c r="GI55" s="1">
        <v>779</v>
      </c>
      <c r="GJ55" s="1">
        <v>724</v>
      </c>
      <c r="GK55" s="1">
        <v>735</v>
      </c>
      <c r="GL55" s="1">
        <v>593</v>
      </c>
      <c r="GM55" s="48">
        <v>1092</v>
      </c>
      <c r="GN55" s="1">
        <v>644</v>
      </c>
      <c r="GO55" s="1">
        <v>1023</v>
      </c>
      <c r="GP55" s="1">
        <v>573</v>
      </c>
      <c r="GQ55" s="1">
        <v>568</v>
      </c>
      <c r="GR55" s="1">
        <v>942</v>
      </c>
      <c r="GS55" s="1">
        <v>944</v>
      </c>
      <c r="GT55" s="1">
        <v>814</v>
      </c>
      <c r="GU55" s="1">
        <v>1047</v>
      </c>
      <c r="GV55" s="1">
        <v>1425</v>
      </c>
      <c r="GW55" s="1">
        <v>995</v>
      </c>
      <c r="GX55" s="6">
        <v>734</v>
      </c>
      <c r="GY55" s="1">
        <v>1211</v>
      </c>
      <c r="GZ55" s="1">
        <v>1017</v>
      </c>
      <c r="HA55" s="1">
        <v>1323</v>
      </c>
      <c r="HB55" s="1">
        <v>1111</v>
      </c>
      <c r="HC55" s="1">
        <v>1435</v>
      </c>
      <c r="HD55" s="1">
        <v>1681</v>
      </c>
      <c r="HE55" s="1">
        <v>1502</v>
      </c>
      <c r="HF55" s="1">
        <v>1451</v>
      </c>
      <c r="HG55" s="1">
        <v>1265</v>
      </c>
      <c r="HH55" s="1">
        <v>1304</v>
      </c>
      <c r="HI55" s="1">
        <v>1332</v>
      </c>
      <c r="HJ55" s="1">
        <v>858</v>
      </c>
      <c r="HK55" s="48">
        <v>1488</v>
      </c>
      <c r="HL55" s="1">
        <v>1388</v>
      </c>
      <c r="HM55" s="1">
        <v>1706</v>
      </c>
      <c r="HN55" s="1">
        <v>1464</v>
      </c>
      <c r="HO55" s="1">
        <v>1998</v>
      </c>
      <c r="HP55" s="1">
        <v>1518</v>
      </c>
      <c r="HQ55" s="1">
        <v>1795</v>
      </c>
      <c r="HR55" s="1">
        <v>1777</v>
      </c>
      <c r="HS55" s="1">
        <v>1833</v>
      </c>
      <c r="HT55" s="1">
        <v>1856</v>
      </c>
      <c r="HU55" s="1">
        <v>1478</v>
      </c>
      <c r="HV55" s="1">
        <v>1278</v>
      </c>
      <c r="HW55" s="48">
        <v>1414</v>
      </c>
      <c r="HX55" s="1">
        <v>1568</v>
      </c>
      <c r="HY55" s="1">
        <v>2176</v>
      </c>
      <c r="HZ55" s="1">
        <v>1214</v>
      </c>
      <c r="IA55" s="1">
        <v>1882</v>
      </c>
      <c r="IB55" s="1">
        <v>1973</v>
      </c>
      <c r="IC55" s="1">
        <v>1542</v>
      </c>
      <c r="ID55" s="1">
        <v>1647</v>
      </c>
      <c r="IE55" s="1">
        <v>1731</v>
      </c>
      <c r="IF55" s="1">
        <v>1642</v>
      </c>
      <c r="IG55" s="1">
        <v>1257</v>
      </c>
      <c r="IH55" s="1">
        <v>1027</v>
      </c>
      <c r="II55" s="48">
        <v>1884</v>
      </c>
      <c r="IJ55" s="1">
        <v>1786</v>
      </c>
      <c r="IK55" s="1">
        <v>1718</v>
      </c>
      <c r="IL55" s="1">
        <v>1431</v>
      </c>
      <c r="IM55" s="1">
        <v>1566</v>
      </c>
      <c r="IN55" s="1">
        <v>1026</v>
      </c>
      <c r="IO55" s="1">
        <v>1278</v>
      </c>
      <c r="IP55" s="1">
        <v>1247</v>
      </c>
      <c r="IQ55" s="1">
        <v>1489</v>
      </c>
      <c r="IR55" s="1">
        <v>1469</v>
      </c>
      <c r="IS55" s="1">
        <v>1503</v>
      </c>
      <c r="IT55" s="6">
        <v>938</v>
      </c>
      <c r="IU55" s="1">
        <v>1523</v>
      </c>
      <c r="IV55" s="1">
        <v>1516</v>
      </c>
      <c r="IW55" s="1">
        <v>1511</v>
      </c>
      <c r="IX55" s="1">
        <v>1192</v>
      </c>
      <c r="IY55" s="1">
        <v>1052</v>
      </c>
      <c r="IZ55" s="1">
        <v>1171</v>
      </c>
      <c r="JA55" s="1">
        <v>1271</v>
      </c>
      <c r="JB55" s="1">
        <v>1021</v>
      </c>
      <c r="JC55" s="1">
        <v>899</v>
      </c>
      <c r="JD55" s="1">
        <v>1087</v>
      </c>
      <c r="JE55" s="1">
        <v>846</v>
      </c>
      <c r="JF55" s="1">
        <v>995</v>
      </c>
      <c r="JG55" s="48">
        <v>1541</v>
      </c>
      <c r="JH55" s="1">
        <v>1208</v>
      </c>
      <c r="JI55" s="1">
        <v>1303</v>
      </c>
    </row>
    <row r="56" spans="1:269" ht="13.5" x14ac:dyDescent="0.25">
      <c r="A56" s="1" t="s">
        <v>7</v>
      </c>
      <c r="B56" s="1">
        <v>40</v>
      </c>
      <c r="C56" s="9">
        <v>142</v>
      </c>
      <c r="D56" s="9">
        <v>98</v>
      </c>
      <c r="E56" s="9">
        <v>184</v>
      </c>
      <c r="F56" s="9">
        <v>172</v>
      </c>
      <c r="G56" s="9">
        <v>140</v>
      </c>
      <c r="H56" s="9">
        <v>159</v>
      </c>
      <c r="I56" s="9">
        <v>178</v>
      </c>
      <c r="J56" s="9">
        <v>143</v>
      </c>
      <c r="K56" s="9">
        <v>156</v>
      </c>
      <c r="L56" s="9">
        <v>182</v>
      </c>
      <c r="M56" s="9">
        <v>140</v>
      </c>
      <c r="N56" s="13">
        <v>158</v>
      </c>
      <c r="O56" s="9">
        <v>143</v>
      </c>
      <c r="P56" s="9">
        <v>267</v>
      </c>
      <c r="Q56" s="9">
        <v>137</v>
      </c>
      <c r="R56" s="9">
        <v>192</v>
      </c>
      <c r="S56" s="9">
        <v>176</v>
      </c>
      <c r="T56" s="9">
        <v>173</v>
      </c>
      <c r="U56" s="9">
        <v>176</v>
      </c>
      <c r="V56" s="9">
        <v>165</v>
      </c>
      <c r="W56" s="9">
        <v>172</v>
      </c>
      <c r="X56" s="9">
        <v>177</v>
      </c>
      <c r="Y56" s="9">
        <v>283</v>
      </c>
      <c r="Z56" s="13">
        <v>195</v>
      </c>
      <c r="AA56" s="9">
        <v>114</v>
      </c>
      <c r="AB56" s="9">
        <v>124</v>
      </c>
      <c r="AC56" s="9">
        <v>201</v>
      </c>
      <c r="AD56" s="9">
        <v>230</v>
      </c>
      <c r="AE56" s="9">
        <v>205</v>
      </c>
      <c r="AF56" s="9">
        <v>140</v>
      </c>
      <c r="AG56" s="9">
        <v>204</v>
      </c>
      <c r="AH56" s="9">
        <v>157</v>
      </c>
      <c r="AI56" s="9">
        <v>171</v>
      </c>
      <c r="AJ56" s="9">
        <v>168</v>
      </c>
      <c r="AK56" s="9"/>
      <c r="AL56" s="13">
        <v>143</v>
      </c>
      <c r="AM56" s="9">
        <v>187</v>
      </c>
      <c r="AN56" s="9">
        <v>171</v>
      </c>
      <c r="AO56" s="9">
        <v>207</v>
      </c>
      <c r="AP56" s="9">
        <v>230</v>
      </c>
      <c r="AQ56" s="9">
        <v>221</v>
      </c>
      <c r="AR56" s="9">
        <v>276</v>
      </c>
      <c r="AS56" s="9">
        <v>230</v>
      </c>
      <c r="AT56" s="9">
        <v>192</v>
      </c>
      <c r="AU56" s="9">
        <v>166</v>
      </c>
      <c r="AV56" s="9">
        <v>202</v>
      </c>
      <c r="AW56" s="9">
        <v>207</v>
      </c>
      <c r="AX56" s="13">
        <v>157</v>
      </c>
      <c r="AY56" s="9">
        <v>168</v>
      </c>
      <c r="AZ56" s="9">
        <v>144</v>
      </c>
      <c r="BA56" s="9">
        <v>207</v>
      </c>
      <c r="BB56" s="9">
        <v>272</v>
      </c>
      <c r="BC56" s="9">
        <v>203</v>
      </c>
      <c r="BD56" s="9">
        <v>233</v>
      </c>
      <c r="BE56" s="9">
        <v>171</v>
      </c>
      <c r="BF56" s="9">
        <v>220</v>
      </c>
      <c r="BG56" s="9">
        <v>190</v>
      </c>
      <c r="BH56" s="9">
        <v>210</v>
      </c>
      <c r="BI56" s="9">
        <v>221</v>
      </c>
      <c r="BJ56" s="13">
        <v>124</v>
      </c>
      <c r="BK56" s="9">
        <v>147</v>
      </c>
      <c r="BL56" s="9">
        <v>116</v>
      </c>
      <c r="BM56" s="9">
        <v>411</v>
      </c>
      <c r="BN56" s="9">
        <v>167</v>
      </c>
      <c r="BO56" s="9">
        <v>132</v>
      </c>
      <c r="BP56" s="9">
        <v>50</v>
      </c>
      <c r="BQ56" s="9">
        <v>118</v>
      </c>
      <c r="BR56" s="9">
        <v>211</v>
      </c>
      <c r="BS56" s="9">
        <v>151</v>
      </c>
      <c r="BT56" s="9">
        <v>183</v>
      </c>
      <c r="BU56" s="9">
        <v>169</v>
      </c>
      <c r="BV56" s="13">
        <v>155</v>
      </c>
      <c r="BW56" s="9">
        <v>183</v>
      </c>
      <c r="BX56" s="9">
        <v>142</v>
      </c>
      <c r="BY56" s="9">
        <v>228</v>
      </c>
      <c r="BZ56" s="9">
        <v>204</v>
      </c>
      <c r="CA56" s="9">
        <v>212</v>
      </c>
      <c r="CB56" s="9">
        <v>260</v>
      </c>
      <c r="CC56" s="9">
        <v>206</v>
      </c>
      <c r="CD56" s="9">
        <v>218</v>
      </c>
      <c r="CE56" s="9">
        <v>236</v>
      </c>
      <c r="CF56" s="9">
        <v>208</v>
      </c>
      <c r="CG56" s="9">
        <v>184</v>
      </c>
      <c r="CH56" s="13">
        <v>145</v>
      </c>
      <c r="CI56" s="9">
        <v>183</v>
      </c>
      <c r="CJ56" s="9">
        <v>180</v>
      </c>
      <c r="CK56" s="9">
        <v>246</v>
      </c>
      <c r="CL56" s="9">
        <v>245</v>
      </c>
      <c r="CM56" s="9">
        <v>254</v>
      </c>
      <c r="CN56" s="9">
        <v>243</v>
      </c>
      <c r="CO56" s="9">
        <v>237</v>
      </c>
      <c r="CP56" s="9">
        <v>201</v>
      </c>
      <c r="CQ56" s="9">
        <v>185</v>
      </c>
      <c r="CR56" s="9">
        <v>198</v>
      </c>
      <c r="CS56" s="9">
        <v>188</v>
      </c>
      <c r="CT56" s="13">
        <v>140</v>
      </c>
      <c r="CU56" s="9">
        <v>144</v>
      </c>
      <c r="CV56" s="9">
        <v>137</v>
      </c>
      <c r="CW56" s="9">
        <v>302</v>
      </c>
      <c r="CX56" s="9">
        <v>206</v>
      </c>
      <c r="CY56" s="9">
        <v>171</v>
      </c>
      <c r="CZ56" s="9">
        <v>209</v>
      </c>
      <c r="DA56" s="9">
        <v>232</v>
      </c>
      <c r="DB56" s="9">
        <v>191</v>
      </c>
      <c r="DC56" s="9">
        <v>146</v>
      </c>
      <c r="DD56" s="9">
        <v>167</v>
      </c>
      <c r="DE56" s="9">
        <v>139</v>
      </c>
      <c r="DF56" s="13">
        <v>106</v>
      </c>
      <c r="DG56" s="9">
        <v>182</v>
      </c>
      <c r="DH56" s="9">
        <v>138</v>
      </c>
      <c r="DI56" s="9">
        <v>177</v>
      </c>
      <c r="DJ56" s="9">
        <v>159</v>
      </c>
      <c r="DK56" s="9">
        <v>185</v>
      </c>
      <c r="DL56" s="9">
        <v>156</v>
      </c>
      <c r="DM56" s="9">
        <v>221</v>
      </c>
      <c r="DN56" s="9">
        <v>156</v>
      </c>
      <c r="DO56" s="9">
        <v>144</v>
      </c>
      <c r="DP56" s="9">
        <v>180</v>
      </c>
      <c r="DQ56" s="9">
        <v>144</v>
      </c>
      <c r="DR56" s="13">
        <v>108</v>
      </c>
      <c r="DS56" s="9">
        <v>163</v>
      </c>
      <c r="DT56" s="9">
        <v>111</v>
      </c>
      <c r="DU56" s="9">
        <v>159</v>
      </c>
      <c r="DV56" s="9">
        <v>158</v>
      </c>
      <c r="DW56" s="9">
        <v>185</v>
      </c>
      <c r="DX56" s="9">
        <v>180</v>
      </c>
      <c r="DY56" s="9">
        <v>213</v>
      </c>
      <c r="DZ56" s="9">
        <v>158</v>
      </c>
      <c r="EA56" s="9">
        <v>149</v>
      </c>
      <c r="EB56" s="9">
        <v>156</v>
      </c>
      <c r="EC56" s="9">
        <v>143</v>
      </c>
      <c r="ED56" s="13">
        <v>115</v>
      </c>
      <c r="EE56" s="9">
        <v>130</v>
      </c>
      <c r="EF56" s="9">
        <v>119</v>
      </c>
      <c r="EG56" s="9">
        <v>170</v>
      </c>
      <c r="EH56" s="9">
        <v>142</v>
      </c>
      <c r="EI56" s="9">
        <v>114</v>
      </c>
      <c r="EJ56" s="9">
        <v>132</v>
      </c>
      <c r="EK56" s="9">
        <v>191</v>
      </c>
      <c r="EL56" s="9">
        <v>136</v>
      </c>
      <c r="EM56" s="9">
        <v>115</v>
      </c>
      <c r="EN56" s="9">
        <v>128</v>
      </c>
      <c r="EO56" s="9">
        <v>96</v>
      </c>
      <c r="EP56" s="13">
        <v>71</v>
      </c>
      <c r="EQ56" s="9">
        <v>92</v>
      </c>
      <c r="ER56" s="9">
        <v>109</v>
      </c>
      <c r="ES56" s="9">
        <v>149</v>
      </c>
      <c r="ET56" s="9">
        <v>103</v>
      </c>
      <c r="EU56" s="1">
        <v>98</v>
      </c>
      <c r="EV56" s="1">
        <v>97</v>
      </c>
      <c r="EW56" s="9">
        <v>96</v>
      </c>
      <c r="EX56" s="1">
        <v>128</v>
      </c>
      <c r="EY56" s="9">
        <v>103</v>
      </c>
      <c r="EZ56" s="30">
        <v>142</v>
      </c>
      <c r="FA56" s="30">
        <v>117</v>
      </c>
      <c r="FB56" s="13">
        <v>87</v>
      </c>
      <c r="FC56" s="9">
        <v>108</v>
      </c>
      <c r="FD56" s="36">
        <v>116</v>
      </c>
      <c r="FE56" s="36">
        <v>137</v>
      </c>
      <c r="FF56" s="33">
        <v>133</v>
      </c>
      <c r="FG56" s="36">
        <v>145</v>
      </c>
      <c r="FH56" s="36">
        <v>147</v>
      </c>
      <c r="FI56" s="36">
        <v>108</v>
      </c>
      <c r="FJ56" s="36">
        <v>151</v>
      </c>
      <c r="FK56" s="36">
        <v>112</v>
      </c>
      <c r="FL56" s="1">
        <v>176</v>
      </c>
      <c r="FM56" s="1">
        <v>131</v>
      </c>
      <c r="FN56" s="6">
        <v>101</v>
      </c>
      <c r="FO56" s="1">
        <v>132</v>
      </c>
      <c r="FP56" s="1">
        <v>139</v>
      </c>
      <c r="FQ56" s="1">
        <v>166</v>
      </c>
      <c r="FR56" s="1">
        <v>171</v>
      </c>
      <c r="FS56" s="1">
        <v>176</v>
      </c>
      <c r="FT56" s="1">
        <v>197</v>
      </c>
      <c r="FU56" s="1">
        <v>402</v>
      </c>
      <c r="FV56" s="1">
        <v>757</v>
      </c>
      <c r="FW56" s="1">
        <v>701</v>
      </c>
      <c r="FX56" s="1">
        <v>711</v>
      </c>
      <c r="FY56" s="1">
        <v>492</v>
      </c>
      <c r="FZ56" s="1">
        <v>581</v>
      </c>
      <c r="GA56" s="48">
        <v>554</v>
      </c>
      <c r="GB56" s="1">
        <v>610</v>
      </c>
      <c r="GC56" s="1">
        <v>625</v>
      </c>
      <c r="GD56" s="1">
        <v>781</v>
      </c>
      <c r="GE56" s="1">
        <v>688</v>
      </c>
      <c r="GF56" s="1">
        <v>677</v>
      </c>
      <c r="GG56" s="1">
        <v>871</v>
      </c>
      <c r="GH56" s="1">
        <v>844</v>
      </c>
      <c r="GI56" s="1">
        <v>757</v>
      </c>
      <c r="GJ56" s="1">
        <v>812</v>
      </c>
      <c r="GK56" s="1">
        <v>615</v>
      </c>
      <c r="GL56" s="1">
        <v>697</v>
      </c>
      <c r="GM56" s="48">
        <v>771</v>
      </c>
      <c r="GN56" s="1">
        <v>915</v>
      </c>
      <c r="GO56" s="1">
        <v>949</v>
      </c>
      <c r="GP56" s="1">
        <v>863</v>
      </c>
      <c r="GQ56" s="1">
        <v>535</v>
      </c>
      <c r="GR56" s="1">
        <v>655</v>
      </c>
      <c r="GS56" s="1">
        <v>964</v>
      </c>
      <c r="GT56" s="1">
        <v>810</v>
      </c>
      <c r="GU56" s="1">
        <v>954</v>
      </c>
      <c r="GV56" s="1">
        <v>1081</v>
      </c>
      <c r="GW56" s="1">
        <v>1099</v>
      </c>
      <c r="GX56" s="6">
        <v>997</v>
      </c>
      <c r="GY56" s="1">
        <v>993</v>
      </c>
      <c r="GZ56" s="1">
        <v>1012</v>
      </c>
      <c r="HA56" s="1">
        <v>1158</v>
      </c>
      <c r="HB56" s="1">
        <v>1184</v>
      </c>
      <c r="HC56" s="1">
        <v>1139</v>
      </c>
      <c r="HD56" s="1">
        <v>1547</v>
      </c>
      <c r="HE56" s="1">
        <v>1601</v>
      </c>
      <c r="HF56" s="1">
        <v>1391</v>
      </c>
      <c r="HG56" s="1">
        <v>1499</v>
      </c>
      <c r="HH56" s="1">
        <v>1484</v>
      </c>
      <c r="HI56" s="1">
        <v>1177</v>
      </c>
      <c r="HJ56" s="1">
        <v>1134</v>
      </c>
      <c r="HK56" s="48">
        <v>1179</v>
      </c>
      <c r="HL56" s="1">
        <v>1153</v>
      </c>
      <c r="HM56" s="1">
        <v>1313</v>
      </c>
      <c r="HN56" s="1">
        <v>1644</v>
      </c>
      <c r="HO56" s="1">
        <v>1829</v>
      </c>
      <c r="HP56" s="1">
        <v>1545</v>
      </c>
      <c r="HQ56" s="1">
        <v>1689</v>
      </c>
      <c r="HR56" s="1">
        <v>1649</v>
      </c>
      <c r="HS56" s="1">
        <v>1735</v>
      </c>
      <c r="HT56" s="1">
        <v>1888</v>
      </c>
      <c r="HU56" s="1">
        <v>1922</v>
      </c>
      <c r="HV56" s="1">
        <v>1352</v>
      </c>
      <c r="HW56" s="48">
        <v>1672</v>
      </c>
      <c r="HX56" s="1">
        <v>1160</v>
      </c>
      <c r="HY56" s="1">
        <v>1699</v>
      </c>
      <c r="HZ56" s="1">
        <v>1845</v>
      </c>
      <c r="IA56" s="1">
        <v>1528</v>
      </c>
      <c r="IB56" s="1">
        <v>1836</v>
      </c>
      <c r="IC56" s="1">
        <v>1937</v>
      </c>
      <c r="ID56" s="1">
        <v>1784</v>
      </c>
      <c r="IE56" s="1">
        <v>1436</v>
      </c>
      <c r="IF56" s="1">
        <v>1773</v>
      </c>
      <c r="IG56" s="1">
        <v>1651</v>
      </c>
      <c r="IH56" s="1">
        <v>1091</v>
      </c>
      <c r="II56" s="48">
        <v>1388</v>
      </c>
      <c r="IJ56" s="1">
        <v>1696</v>
      </c>
      <c r="IK56" s="1">
        <v>1741</v>
      </c>
      <c r="IL56" s="1">
        <v>1804</v>
      </c>
      <c r="IM56" s="1">
        <v>1441</v>
      </c>
      <c r="IN56" s="1">
        <v>1294</v>
      </c>
      <c r="IO56" s="1">
        <v>1282</v>
      </c>
      <c r="IP56" s="1">
        <v>1201</v>
      </c>
      <c r="IQ56" s="1">
        <v>1082</v>
      </c>
      <c r="IR56" s="1">
        <v>1749</v>
      </c>
      <c r="IS56" s="1">
        <v>1409</v>
      </c>
      <c r="IT56" s="6">
        <v>1254</v>
      </c>
      <c r="IU56" s="1">
        <v>1296</v>
      </c>
      <c r="IV56" s="1">
        <v>1218</v>
      </c>
      <c r="IW56" s="1">
        <v>1648</v>
      </c>
      <c r="IX56" s="1">
        <v>1598</v>
      </c>
      <c r="IY56" s="1">
        <v>1076</v>
      </c>
      <c r="IZ56" s="1">
        <v>1020</v>
      </c>
      <c r="JA56" s="1">
        <v>1207</v>
      </c>
      <c r="JB56" s="1">
        <v>1126</v>
      </c>
      <c r="JC56" s="1">
        <v>1194</v>
      </c>
      <c r="JD56" s="1">
        <v>943</v>
      </c>
      <c r="JE56" s="1">
        <v>981</v>
      </c>
      <c r="JF56" s="1">
        <v>837</v>
      </c>
      <c r="JG56" s="48">
        <v>1283</v>
      </c>
      <c r="JH56" s="1">
        <v>1517</v>
      </c>
      <c r="JI56" s="1">
        <v>1159</v>
      </c>
    </row>
    <row r="57" spans="1:269" ht="14.25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3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3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3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13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13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13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13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13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13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13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13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13"/>
      <c r="EQ57" s="9"/>
      <c r="ER57" s="9"/>
      <c r="ES57" s="9"/>
      <c r="ET57" s="9"/>
      <c r="EU57" s="10"/>
      <c r="EV57" s="10"/>
      <c r="EW57" s="9"/>
      <c r="EX57" s="9"/>
      <c r="EY57" s="9"/>
      <c r="EZ57" s="9"/>
      <c r="FA57" s="9"/>
      <c r="FB57" s="13"/>
      <c r="FC57" s="9"/>
      <c r="FD57" s="3"/>
      <c r="FF57" s="38"/>
      <c r="FG57" s="3"/>
      <c r="FI57" s="32"/>
      <c r="FN57" s="6"/>
      <c r="GA57" s="48"/>
      <c r="GM57" s="48"/>
      <c r="GX57" s="58"/>
      <c r="HK57" s="48"/>
      <c r="HW57" s="48"/>
      <c r="II57" s="48"/>
      <c r="IT57" s="6"/>
      <c r="JG57" s="48"/>
    </row>
    <row r="58" spans="1:269" ht="14.25" x14ac:dyDescent="0.25">
      <c r="A58" s="4" t="s">
        <v>44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4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4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4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4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4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4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4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4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4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4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4"/>
      <c r="EQ58" s="10"/>
      <c r="ER58" s="10"/>
      <c r="ES58" s="10"/>
      <c r="ET58" s="10"/>
      <c r="EU58" s="9"/>
      <c r="EV58" s="9"/>
      <c r="EW58" s="10"/>
      <c r="EX58" s="9"/>
      <c r="EY58" s="9"/>
      <c r="EZ58" s="9"/>
      <c r="FA58" s="9"/>
      <c r="FB58" s="13"/>
      <c r="FC58" s="9"/>
      <c r="FF58" s="37"/>
      <c r="FI58" s="32"/>
      <c r="FN58" s="6"/>
      <c r="GA58" s="48"/>
      <c r="GM58" s="48"/>
      <c r="GX58" s="6"/>
      <c r="HJ58" s="6"/>
      <c r="HW58" s="48"/>
      <c r="IH58" s="6"/>
      <c r="II58" s="48"/>
      <c r="IT58" s="6"/>
      <c r="JG58" s="48"/>
    </row>
    <row r="59" spans="1:269" ht="13.5" x14ac:dyDescent="0.25">
      <c r="A59" s="1" t="s">
        <v>22</v>
      </c>
      <c r="B59" s="1">
        <v>41</v>
      </c>
      <c r="C59" s="9">
        <v>13544</v>
      </c>
      <c r="D59" s="9">
        <v>15359</v>
      </c>
      <c r="E59" s="9">
        <v>14229</v>
      </c>
      <c r="F59" s="9">
        <v>6947</v>
      </c>
      <c r="G59" s="9">
        <v>6476</v>
      </c>
      <c r="H59" s="9">
        <v>5643</v>
      </c>
      <c r="I59" s="9">
        <v>3004</v>
      </c>
      <c r="J59" s="9">
        <v>2457</v>
      </c>
      <c r="K59" s="9">
        <v>2066</v>
      </c>
      <c r="L59" s="9">
        <v>2847</v>
      </c>
      <c r="M59" s="9">
        <v>14752</v>
      </c>
      <c r="N59" s="13">
        <v>1661</v>
      </c>
      <c r="O59" s="9">
        <v>3452</v>
      </c>
      <c r="P59" s="9">
        <v>8631</v>
      </c>
      <c r="Q59" s="9">
        <v>13094</v>
      </c>
      <c r="R59" s="9">
        <v>9688</v>
      </c>
      <c r="S59" s="9">
        <v>2617</v>
      </c>
      <c r="T59" s="9">
        <v>6878</v>
      </c>
      <c r="U59" s="9">
        <v>1297</v>
      </c>
      <c r="V59" s="9">
        <v>971</v>
      </c>
      <c r="W59" s="9">
        <v>2014</v>
      </c>
      <c r="X59" s="9">
        <v>1240</v>
      </c>
      <c r="Y59" s="9">
        <v>1333</v>
      </c>
      <c r="Z59" s="13">
        <v>0</v>
      </c>
      <c r="AA59" s="9">
        <v>136</v>
      </c>
      <c r="AB59" s="9">
        <v>573</v>
      </c>
      <c r="AC59" s="9">
        <v>72</v>
      </c>
      <c r="AD59" s="9">
        <v>259</v>
      </c>
      <c r="AE59" s="9"/>
      <c r="AF59" s="9"/>
      <c r="AG59" s="9"/>
      <c r="AH59" s="9"/>
      <c r="AI59" s="9"/>
      <c r="AJ59" s="9">
        <v>118</v>
      </c>
      <c r="AK59" s="9">
        <v>308</v>
      </c>
      <c r="AL59" s="13">
        <v>264</v>
      </c>
      <c r="AM59" s="9">
        <v>142</v>
      </c>
      <c r="AN59" s="9">
        <v>328</v>
      </c>
      <c r="AO59" s="9">
        <v>1048</v>
      </c>
      <c r="AP59" s="9">
        <v>922</v>
      </c>
      <c r="AQ59" s="9">
        <v>684</v>
      </c>
      <c r="AR59" s="9">
        <v>636</v>
      </c>
      <c r="AS59" s="9">
        <v>572</v>
      </c>
      <c r="AT59" s="9">
        <v>316</v>
      </c>
      <c r="AU59" s="9">
        <v>284</v>
      </c>
      <c r="AV59" s="9">
        <v>490</v>
      </c>
      <c r="AW59" s="9"/>
      <c r="AX59" s="13">
        <v>0</v>
      </c>
      <c r="AY59" s="9"/>
      <c r="AZ59" s="9"/>
      <c r="BA59" s="9"/>
      <c r="BB59" s="9">
        <v>0</v>
      </c>
      <c r="BC59" s="9">
        <v>58</v>
      </c>
      <c r="BD59" s="9">
        <v>2765</v>
      </c>
      <c r="BE59" s="9">
        <v>3182</v>
      </c>
      <c r="BF59" s="9">
        <v>3520</v>
      </c>
      <c r="BG59" s="9">
        <v>2233</v>
      </c>
      <c r="BH59" s="9">
        <v>2260</v>
      </c>
      <c r="BI59" s="9">
        <v>9747</v>
      </c>
      <c r="BJ59" s="13">
        <v>45419</v>
      </c>
      <c r="BK59" s="19">
        <v>84050</v>
      </c>
      <c r="BL59" s="19">
        <v>145888</v>
      </c>
      <c r="BM59" s="19">
        <v>261527</v>
      </c>
      <c r="BN59" s="19">
        <v>297951</v>
      </c>
      <c r="BO59" s="19">
        <v>268604</v>
      </c>
      <c r="BP59" s="19">
        <v>254279</v>
      </c>
      <c r="BQ59" s="19">
        <v>152117</v>
      </c>
      <c r="BR59" s="19">
        <v>171666</v>
      </c>
      <c r="BS59" s="19">
        <v>185236</v>
      </c>
      <c r="BT59" s="19">
        <v>168876</v>
      </c>
      <c r="BU59" s="19">
        <v>139986</v>
      </c>
      <c r="BV59" s="20">
        <v>104707</v>
      </c>
      <c r="BW59" s="9">
        <v>93816</v>
      </c>
      <c r="BX59" s="9">
        <v>74127</v>
      </c>
      <c r="BY59" s="9">
        <v>55975</v>
      </c>
      <c r="BZ59" s="9">
        <v>38134</v>
      </c>
      <c r="CA59" s="9">
        <v>22470</v>
      </c>
      <c r="CB59" s="9">
        <v>17543</v>
      </c>
      <c r="CC59" s="9">
        <v>19936</v>
      </c>
      <c r="CD59" s="9">
        <v>17064</v>
      </c>
      <c r="CE59" s="9">
        <v>12740</v>
      </c>
      <c r="CF59" s="9">
        <v>16143</v>
      </c>
      <c r="CG59" s="9">
        <v>9784</v>
      </c>
      <c r="CH59" s="13">
        <v>7463</v>
      </c>
      <c r="CI59" s="9">
        <v>8363</v>
      </c>
      <c r="CJ59" s="9">
        <v>12274</v>
      </c>
      <c r="CK59" s="9">
        <v>5443</v>
      </c>
      <c r="CL59" s="9">
        <v>7101</v>
      </c>
      <c r="CM59" s="9">
        <v>14135</v>
      </c>
      <c r="CN59" s="9">
        <v>15387</v>
      </c>
      <c r="CO59" s="9">
        <v>16339</v>
      </c>
      <c r="CP59" s="9">
        <v>11547</v>
      </c>
      <c r="CQ59" s="9">
        <v>17339</v>
      </c>
      <c r="CR59" s="9">
        <v>11468</v>
      </c>
      <c r="CS59" s="9">
        <v>10516</v>
      </c>
      <c r="CT59" s="13">
        <v>5470</v>
      </c>
      <c r="CU59" s="9">
        <v>10941</v>
      </c>
      <c r="CV59" s="9">
        <v>17504</v>
      </c>
      <c r="CW59" s="9">
        <v>17216</v>
      </c>
      <c r="CX59" s="9">
        <v>13821</v>
      </c>
      <c r="CY59" s="9">
        <v>11179</v>
      </c>
      <c r="CZ59" s="9">
        <v>23218</v>
      </c>
      <c r="DA59" s="9">
        <v>11295</v>
      </c>
      <c r="DB59" s="9">
        <v>14708</v>
      </c>
      <c r="DC59" s="9">
        <v>23545</v>
      </c>
      <c r="DD59" s="9">
        <v>29053</v>
      </c>
      <c r="DE59" s="9">
        <v>48926</v>
      </c>
      <c r="DF59" s="13">
        <v>39729</v>
      </c>
      <c r="DG59" s="9">
        <v>46602</v>
      </c>
      <c r="DH59" s="9">
        <v>26994</v>
      </c>
      <c r="DI59" s="9">
        <v>34558</v>
      </c>
      <c r="DJ59" s="9">
        <v>27961</v>
      </c>
      <c r="DK59" s="9">
        <v>25036</v>
      </c>
      <c r="DL59" s="9">
        <v>25752</v>
      </c>
      <c r="DM59" s="9">
        <v>13070</v>
      </c>
      <c r="DN59" s="9">
        <v>9821</v>
      </c>
      <c r="DO59" s="9">
        <v>15820</v>
      </c>
      <c r="DP59" s="9">
        <v>11778</v>
      </c>
      <c r="DQ59" s="9">
        <v>13191</v>
      </c>
      <c r="DR59" s="13">
        <v>10953</v>
      </c>
      <c r="DS59" s="9">
        <v>8669</v>
      </c>
      <c r="DT59" s="9">
        <v>4319</v>
      </c>
      <c r="DU59" s="9">
        <v>8778</v>
      </c>
      <c r="DV59" s="9">
        <v>3766</v>
      </c>
      <c r="DW59" s="9">
        <v>1066</v>
      </c>
      <c r="DX59" s="9">
        <v>3373</v>
      </c>
      <c r="DY59" s="9">
        <v>1072</v>
      </c>
      <c r="DZ59" s="9">
        <v>5188</v>
      </c>
      <c r="EA59" s="9">
        <v>15934</v>
      </c>
      <c r="EB59" s="9">
        <v>8383</v>
      </c>
      <c r="EC59" s="9">
        <v>6694</v>
      </c>
      <c r="ED59" s="13">
        <v>3934</v>
      </c>
      <c r="EE59" s="9">
        <v>9252</v>
      </c>
      <c r="EF59" s="9">
        <v>7793</v>
      </c>
      <c r="EG59" s="9">
        <v>22532</v>
      </c>
      <c r="EH59" s="9">
        <v>16005</v>
      </c>
      <c r="EI59" s="9">
        <v>9744</v>
      </c>
      <c r="EJ59" s="9">
        <v>9685</v>
      </c>
      <c r="EK59" s="9">
        <v>4443</v>
      </c>
      <c r="EL59" s="9">
        <v>4863</v>
      </c>
      <c r="EM59" s="9">
        <v>14670</v>
      </c>
      <c r="EN59" s="9">
        <v>21553</v>
      </c>
      <c r="EO59" s="9">
        <v>16996</v>
      </c>
      <c r="EP59" s="13">
        <v>21611</v>
      </c>
      <c r="EQ59" s="9">
        <v>29333</v>
      </c>
      <c r="ER59" s="9">
        <v>27105</v>
      </c>
      <c r="ES59" s="9">
        <v>24967</v>
      </c>
      <c r="ET59" s="9">
        <v>23719</v>
      </c>
      <c r="EU59" s="36">
        <v>23023</v>
      </c>
      <c r="EV59" s="36">
        <v>26208</v>
      </c>
      <c r="EW59" s="35">
        <v>13236</v>
      </c>
      <c r="EX59" s="35">
        <v>12427</v>
      </c>
      <c r="EY59" s="35">
        <v>17337</v>
      </c>
      <c r="EZ59" s="35">
        <v>18287</v>
      </c>
      <c r="FA59" s="35">
        <v>21131</v>
      </c>
      <c r="FB59" s="39">
        <v>14070</v>
      </c>
      <c r="FC59" s="35">
        <v>10363</v>
      </c>
      <c r="FD59" s="36">
        <v>10588</v>
      </c>
      <c r="FE59" s="36">
        <v>9260</v>
      </c>
      <c r="FF59" s="33">
        <v>11487</v>
      </c>
      <c r="FG59" s="36">
        <v>8944</v>
      </c>
      <c r="FH59" s="36">
        <v>8970</v>
      </c>
      <c r="FI59" s="36">
        <v>4375</v>
      </c>
      <c r="FJ59" s="1">
        <v>780</v>
      </c>
      <c r="FK59" s="1">
        <v>3551</v>
      </c>
      <c r="FL59" s="1">
        <v>4584</v>
      </c>
      <c r="FM59" s="1">
        <v>4582</v>
      </c>
      <c r="FN59" s="6">
        <v>1394</v>
      </c>
      <c r="FO59" s="1">
        <v>3895</v>
      </c>
      <c r="FP59" s="1">
        <v>2540</v>
      </c>
      <c r="FQ59" s="1">
        <v>4855</v>
      </c>
      <c r="FR59" s="1">
        <v>3709</v>
      </c>
      <c r="FS59" s="1">
        <v>2460</v>
      </c>
      <c r="FT59" s="1">
        <v>946</v>
      </c>
      <c r="FU59" s="1">
        <v>1060</v>
      </c>
      <c r="FV59" s="1">
        <v>97</v>
      </c>
      <c r="FW59" s="1">
        <v>252</v>
      </c>
      <c r="FX59" s="1">
        <v>8520</v>
      </c>
      <c r="FY59" s="1">
        <v>10384</v>
      </c>
      <c r="FZ59" s="1">
        <v>10162</v>
      </c>
      <c r="GA59" s="55">
        <v>3991</v>
      </c>
      <c r="GB59" s="36">
        <v>3825</v>
      </c>
      <c r="GC59" s="36">
        <v>4756</v>
      </c>
      <c r="GD59" s="1">
        <v>478</v>
      </c>
      <c r="GE59" s="54">
        <v>4673</v>
      </c>
      <c r="GF59" s="54">
        <v>5570</v>
      </c>
      <c r="GG59" s="54">
        <v>5124</v>
      </c>
      <c r="GH59" s="36">
        <v>1425</v>
      </c>
      <c r="GI59" s="36">
        <v>6968</v>
      </c>
      <c r="GJ59" s="36">
        <v>15878</v>
      </c>
      <c r="GK59" s="36">
        <v>15741</v>
      </c>
      <c r="GL59" s="36">
        <v>10487</v>
      </c>
      <c r="GM59" s="55">
        <v>16483</v>
      </c>
      <c r="GN59" s="36">
        <v>12474</v>
      </c>
      <c r="GO59" s="36">
        <v>935377</v>
      </c>
      <c r="GP59" s="36">
        <v>2524785</v>
      </c>
      <c r="GQ59" s="36">
        <v>1737785</v>
      </c>
      <c r="GR59" s="36">
        <v>950586</v>
      </c>
      <c r="GS59" s="36">
        <v>784655</v>
      </c>
      <c r="GT59" s="36">
        <v>575081</v>
      </c>
      <c r="GU59" s="36">
        <v>460336</v>
      </c>
      <c r="GV59" s="36">
        <v>449404</v>
      </c>
      <c r="GW59" s="36">
        <v>542738</v>
      </c>
      <c r="GX59" s="36">
        <v>673263</v>
      </c>
      <c r="GY59" s="55">
        <v>913217</v>
      </c>
      <c r="GZ59" s="36">
        <v>890640</v>
      </c>
      <c r="HA59" s="36">
        <v>831713</v>
      </c>
      <c r="HB59" s="36">
        <v>502935</v>
      </c>
      <c r="HC59" s="36">
        <v>356683</v>
      </c>
      <c r="HD59" s="36">
        <v>203148</v>
      </c>
      <c r="HE59" s="36">
        <v>113071</v>
      </c>
      <c r="HF59" s="36">
        <v>90990</v>
      </c>
      <c r="HG59" s="36">
        <v>81989</v>
      </c>
      <c r="HH59" s="36">
        <v>79173</v>
      </c>
      <c r="HI59" s="36">
        <v>95265</v>
      </c>
      <c r="HJ59" s="36">
        <v>102604</v>
      </c>
      <c r="HK59" s="55">
        <v>134489</v>
      </c>
      <c r="HL59" s="36">
        <v>101319</v>
      </c>
      <c r="HM59" s="36">
        <v>58474</v>
      </c>
      <c r="HN59" s="36">
        <v>24890</v>
      </c>
      <c r="HO59" s="36">
        <v>25965</v>
      </c>
      <c r="HP59" s="36">
        <v>29179</v>
      </c>
      <c r="HQ59" s="36">
        <v>19588</v>
      </c>
      <c r="HR59" s="36">
        <v>14151</v>
      </c>
      <c r="HS59" s="36">
        <v>11987</v>
      </c>
      <c r="HT59" s="36">
        <v>13341.95</v>
      </c>
      <c r="HU59" s="1">
        <v>11761.54</v>
      </c>
      <c r="HV59" s="1">
        <v>26277.47</v>
      </c>
      <c r="HW59" s="55">
        <v>32244</v>
      </c>
      <c r="HX59" s="36">
        <v>34702</v>
      </c>
      <c r="HY59" s="36">
        <v>22509</v>
      </c>
      <c r="HZ59" s="36">
        <v>11252</v>
      </c>
      <c r="IA59" s="36">
        <v>8348</v>
      </c>
      <c r="IB59" s="36">
        <v>7964</v>
      </c>
      <c r="IC59" s="36">
        <v>8140</v>
      </c>
      <c r="ID59" s="36">
        <v>18861</v>
      </c>
      <c r="IE59" s="36">
        <v>19148</v>
      </c>
      <c r="IF59" s="36">
        <v>13178</v>
      </c>
      <c r="IG59" s="36">
        <v>21153</v>
      </c>
      <c r="IH59" s="36">
        <v>15683</v>
      </c>
      <c r="II59" s="55">
        <v>25312</v>
      </c>
      <c r="IJ59" s="36">
        <v>21768</v>
      </c>
      <c r="IK59" s="36">
        <v>30253</v>
      </c>
      <c r="IL59" s="36">
        <v>22928</v>
      </c>
      <c r="IM59" s="36">
        <v>37493</v>
      </c>
      <c r="IN59" s="36">
        <v>27966</v>
      </c>
      <c r="IO59" s="36">
        <v>17326</v>
      </c>
      <c r="IP59" s="36">
        <v>33258</v>
      </c>
      <c r="IQ59" s="36">
        <v>40912</v>
      </c>
      <c r="IR59" s="36">
        <v>70349</v>
      </c>
      <c r="IS59" s="36">
        <v>55125</v>
      </c>
      <c r="IT59" s="36">
        <v>29623</v>
      </c>
      <c r="IU59" s="55">
        <v>62586.69</v>
      </c>
      <c r="IV59" s="36">
        <v>56913.97</v>
      </c>
      <c r="IW59" s="36">
        <v>55845.34</v>
      </c>
      <c r="IX59" s="36">
        <v>50178.76</v>
      </c>
      <c r="IY59" s="36">
        <v>52828.54</v>
      </c>
      <c r="IZ59" s="36">
        <v>51975.17</v>
      </c>
      <c r="JA59" s="36">
        <v>40325.71</v>
      </c>
      <c r="JB59" s="36">
        <v>33250.559999999998</v>
      </c>
      <c r="JC59" s="36">
        <v>34156.519999999997</v>
      </c>
      <c r="JD59" s="36">
        <v>33149.160000000003</v>
      </c>
      <c r="JE59" s="36">
        <v>41177.47</v>
      </c>
      <c r="JF59" s="1">
        <v>23335.42</v>
      </c>
      <c r="JG59" s="48">
        <v>12534.93</v>
      </c>
    </row>
    <row r="60" spans="1:269" ht="13.5" x14ac:dyDescent="0.25">
      <c r="A60" s="1" t="s">
        <v>23</v>
      </c>
      <c r="B60" s="1">
        <v>42</v>
      </c>
      <c r="C60" s="9">
        <v>32</v>
      </c>
      <c r="D60" s="9">
        <v>31</v>
      </c>
      <c r="E60" s="9">
        <v>31</v>
      </c>
      <c r="F60" s="9">
        <v>20</v>
      </c>
      <c r="G60" s="9">
        <v>17</v>
      </c>
      <c r="H60" s="9">
        <v>15</v>
      </c>
      <c r="I60" s="9">
        <v>9</v>
      </c>
      <c r="J60" s="9">
        <v>8</v>
      </c>
      <c r="K60" s="9">
        <v>5</v>
      </c>
      <c r="L60" s="9">
        <v>8</v>
      </c>
      <c r="M60" s="9">
        <v>9</v>
      </c>
      <c r="N60" s="13">
        <v>6</v>
      </c>
      <c r="O60" s="9">
        <v>7</v>
      </c>
      <c r="P60" s="9">
        <v>9</v>
      </c>
      <c r="Q60" s="9">
        <v>7</v>
      </c>
      <c r="R60" s="9">
        <v>9</v>
      </c>
      <c r="S60" s="9">
        <v>5</v>
      </c>
      <c r="T60" s="9">
        <v>5</v>
      </c>
      <c r="U60" s="9">
        <v>2</v>
      </c>
      <c r="V60" s="9">
        <v>2</v>
      </c>
      <c r="W60" s="9">
        <v>3</v>
      </c>
      <c r="X60" s="9">
        <v>2</v>
      </c>
      <c r="Y60" s="9">
        <v>2</v>
      </c>
      <c r="Z60" s="13"/>
      <c r="AA60" s="9">
        <v>1</v>
      </c>
      <c r="AB60" s="9">
        <v>3</v>
      </c>
      <c r="AC60" s="9">
        <v>1</v>
      </c>
      <c r="AD60" s="9">
        <v>1</v>
      </c>
      <c r="AE60" s="9"/>
      <c r="AF60" s="9"/>
      <c r="AG60" s="9"/>
      <c r="AH60" s="9"/>
      <c r="AI60" s="9"/>
      <c r="AJ60" s="9">
        <v>1</v>
      </c>
      <c r="AK60" s="9">
        <v>1</v>
      </c>
      <c r="AL60" s="13">
        <v>1</v>
      </c>
      <c r="AM60" s="9">
        <v>2</v>
      </c>
      <c r="AN60" s="9">
        <v>3</v>
      </c>
      <c r="AO60" s="9">
        <v>3</v>
      </c>
      <c r="AP60" s="9">
        <v>3</v>
      </c>
      <c r="AQ60" s="9">
        <v>5</v>
      </c>
      <c r="AR60" s="9">
        <v>4</v>
      </c>
      <c r="AS60" s="9">
        <v>3</v>
      </c>
      <c r="AT60" s="9">
        <v>1</v>
      </c>
      <c r="AU60" s="9">
        <v>1</v>
      </c>
      <c r="AV60" s="9">
        <v>2</v>
      </c>
      <c r="AW60" s="9"/>
      <c r="AX60" s="13">
        <v>0</v>
      </c>
      <c r="AY60" s="9"/>
      <c r="AZ60" s="9"/>
      <c r="BA60" s="9"/>
      <c r="BB60" s="9"/>
      <c r="BC60" s="9">
        <v>1</v>
      </c>
      <c r="BD60" s="9">
        <v>2</v>
      </c>
      <c r="BE60" s="9">
        <v>3</v>
      </c>
      <c r="BF60" s="9">
        <v>3</v>
      </c>
      <c r="BG60" s="9">
        <v>3</v>
      </c>
      <c r="BH60" s="9">
        <v>3</v>
      </c>
      <c r="BI60" s="9">
        <v>10</v>
      </c>
      <c r="BJ60" s="13">
        <v>17</v>
      </c>
      <c r="BK60" s="9">
        <v>48</v>
      </c>
      <c r="BL60" s="9">
        <v>104</v>
      </c>
      <c r="BM60" s="9">
        <v>172</v>
      </c>
      <c r="BN60" s="9">
        <v>222</v>
      </c>
      <c r="BO60" s="9">
        <v>245</v>
      </c>
      <c r="BP60" s="9">
        <v>245</v>
      </c>
      <c r="BQ60" s="9">
        <v>192</v>
      </c>
      <c r="BR60" s="9">
        <v>196</v>
      </c>
      <c r="BS60" s="9">
        <v>211</v>
      </c>
      <c r="BT60" s="9">
        <v>208</v>
      </c>
      <c r="BU60" s="9">
        <v>201</v>
      </c>
      <c r="BV60" s="13">
        <v>165</v>
      </c>
      <c r="BW60" s="9">
        <v>151</v>
      </c>
      <c r="BX60" s="9">
        <v>143</v>
      </c>
      <c r="BY60" s="9">
        <v>127</v>
      </c>
      <c r="BZ60" s="9">
        <v>95</v>
      </c>
      <c r="CA60" s="9">
        <v>71</v>
      </c>
      <c r="CB60" s="9">
        <v>54</v>
      </c>
      <c r="CC60" s="9">
        <v>42</v>
      </c>
      <c r="CD60" s="9">
        <v>37</v>
      </c>
      <c r="CE60" s="9">
        <v>39</v>
      </c>
      <c r="CF60" s="9">
        <v>36</v>
      </c>
      <c r="CG60" s="9">
        <v>31</v>
      </c>
      <c r="CH60" s="13">
        <v>26</v>
      </c>
      <c r="CI60" s="9">
        <v>27</v>
      </c>
      <c r="CJ60" s="9">
        <v>23</v>
      </c>
      <c r="CK60" s="9">
        <v>16</v>
      </c>
      <c r="CL60" s="9">
        <v>12</v>
      </c>
      <c r="CM60" s="9">
        <v>9</v>
      </c>
      <c r="CN60" s="9">
        <v>10</v>
      </c>
      <c r="CO60" s="9">
        <v>15</v>
      </c>
      <c r="CP60" s="9">
        <v>11</v>
      </c>
      <c r="CQ60" s="9">
        <v>12</v>
      </c>
      <c r="CR60" s="9">
        <v>15</v>
      </c>
      <c r="CS60" s="9">
        <v>21</v>
      </c>
      <c r="CT60" s="13">
        <v>17</v>
      </c>
      <c r="CU60" s="9">
        <v>23</v>
      </c>
      <c r="CV60" s="9">
        <v>28</v>
      </c>
      <c r="CW60" s="9">
        <v>33</v>
      </c>
      <c r="CX60" s="9">
        <v>30</v>
      </c>
      <c r="CY60" s="9">
        <v>25</v>
      </c>
      <c r="CZ60" s="9">
        <v>37</v>
      </c>
      <c r="DA60" s="9">
        <v>24</v>
      </c>
      <c r="DB60" s="9">
        <v>22</v>
      </c>
      <c r="DC60" s="9">
        <v>30</v>
      </c>
      <c r="DD60" s="9">
        <v>35</v>
      </c>
      <c r="DE60" s="9">
        <v>40</v>
      </c>
      <c r="DF60" s="13">
        <v>37</v>
      </c>
      <c r="DG60" s="9">
        <v>45</v>
      </c>
      <c r="DH60" s="9">
        <v>44</v>
      </c>
      <c r="DI60" s="9">
        <v>48</v>
      </c>
      <c r="DJ60" s="9">
        <v>44</v>
      </c>
      <c r="DK60" s="9">
        <v>34</v>
      </c>
      <c r="DL60" s="9">
        <v>30</v>
      </c>
      <c r="DM60" s="9">
        <v>14</v>
      </c>
      <c r="DN60" s="9">
        <v>17</v>
      </c>
      <c r="DO60" s="9">
        <v>18</v>
      </c>
      <c r="DP60" s="9">
        <v>15</v>
      </c>
      <c r="DQ60" s="9">
        <v>21</v>
      </c>
      <c r="DR60" s="13">
        <v>16</v>
      </c>
      <c r="DS60" s="9">
        <v>9</v>
      </c>
      <c r="DT60" s="9">
        <v>6</v>
      </c>
      <c r="DU60" s="9">
        <v>11</v>
      </c>
      <c r="DV60" s="9">
        <v>7</v>
      </c>
      <c r="DW60" s="9">
        <v>3</v>
      </c>
      <c r="DX60" s="9">
        <v>4</v>
      </c>
      <c r="DY60" s="9">
        <v>3</v>
      </c>
      <c r="DZ60" s="9">
        <v>3</v>
      </c>
      <c r="EA60" s="9">
        <v>11</v>
      </c>
      <c r="EB60" s="9">
        <v>9</v>
      </c>
      <c r="EC60" s="9">
        <v>11</v>
      </c>
      <c r="ED60" s="13">
        <v>8</v>
      </c>
      <c r="EE60" s="9">
        <v>15</v>
      </c>
      <c r="EF60" s="9">
        <v>17</v>
      </c>
      <c r="EG60" s="9">
        <v>29</v>
      </c>
      <c r="EH60" s="9">
        <v>26</v>
      </c>
      <c r="EI60" s="9">
        <v>22</v>
      </c>
      <c r="EJ60" s="9">
        <v>18</v>
      </c>
      <c r="EK60" s="9">
        <v>14</v>
      </c>
      <c r="EL60" s="9">
        <v>16</v>
      </c>
      <c r="EM60" s="9">
        <v>21</v>
      </c>
      <c r="EN60" s="9">
        <v>25</v>
      </c>
      <c r="EO60" s="9">
        <v>28</v>
      </c>
      <c r="EP60" s="13">
        <v>23</v>
      </c>
      <c r="EQ60" s="9">
        <v>30</v>
      </c>
      <c r="ER60" s="9">
        <v>38</v>
      </c>
      <c r="ES60" s="9">
        <v>38</v>
      </c>
      <c r="ET60" s="9">
        <v>41</v>
      </c>
      <c r="EU60" s="1">
        <v>38</v>
      </c>
      <c r="EV60" s="1">
        <v>37</v>
      </c>
      <c r="EW60" s="9">
        <v>32</v>
      </c>
      <c r="EX60" s="9">
        <v>27</v>
      </c>
      <c r="EY60" s="9">
        <v>30</v>
      </c>
      <c r="EZ60" s="9">
        <v>34</v>
      </c>
      <c r="FA60" s="9">
        <v>37</v>
      </c>
      <c r="FB60" s="6">
        <v>29</v>
      </c>
      <c r="FC60" s="9">
        <v>21</v>
      </c>
      <c r="FD60" s="1">
        <v>23</v>
      </c>
      <c r="FE60" s="1">
        <v>16</v>
      </c>
      <c r="FF60" s="37">
        <v>21</v>
      </c>
      <c r="FG60" s="1">
        <v>18</v>
      </c>
      <c r="FH60" s="1">
        <v>18</v>
      </c>
      <c r="FI60" s="32">
        <v>12</v>
      </c>
      <c r="FJ60" s="1">
        <v>4</v>
      </c>
      <c r="FK60" s="1">
        <v>7</v>
      </c>
      <c r="FL60" s="1">
        <v>9</v>
      </c>
      <c r="FM60" s="1">
        <v>10</v>
      </c>
      <c r="FN60" s="6">
        <v>6</v>
      </c>
      <c r="FO60" s="1">
        <v>7</v>
      </c>
      <c r="FP60" s="1">
        <v>6</v>
      </c>
      <c r="FQ60" s="1">
        <v>7</v>
      </c>
      <c r="FR60" s="1">
        <v>6</v>
      </c>
      <c r="FS60" s="1">
        <v>3</v>
      </c>
      <c r="FT60" s="1">
        <v>2</v>
      </c>
      <c r="FU60" s="1">
        <v>2</v>
      </c>
      <c r="FV60" s="1">
        <v>1</v>
      </c>
      <c r="FW60" s="1">
        <v>2</v>
      </c>
      <c r="FX60" s="1">
        <v>2</v>
      </c>
      <c r="FY60" s="1">
        <v>2</v>
      </c>
      <c r="FZ60" s="1">
        <v>2</v>
      </c>
      <c r="GA60" s="48">
        <v>1</v>
      </c>
      <c r="GB60" s="1">
        <v>2</v>
      </c>
      <c r="GC60" s="1">
        <v>2</v>
      </c>
      <c r="GD60" s="1">
        <v>2</v>
      </c>
      <c r="GE60" s="54">
        <v>2</v>
      </c>
      <c r="GF60" s="54">
        <v>4</v>
      </c>
      <c r="GG60" s="54">
        <v>3</v>
      </c>
      <c r="GH60" s="1">
        <v>3</v>
      </c>
      <c r="GI60" s="1">
        <v>6</v>
      </c>
      <c r="GJ60" s="1">
        <v>7</v>
      </c>
      <c r="GK60" s="1">
        <v>12</v>
      </c>
      <c r="GL60" s="1">
        <v>7</v>
      </c>
      <c r="GM60" s="48">
        <v>11</v>
      </c>
      <c r="GN60" s="1">
        <v>12</v>
      </c>
      <c r="GO60" s="36">
        <v>2619</v>
      </c>
      <c r="GP60" s="36">
        <v>3684</v>
      </c>
      <c r="GQ60" s="36">
        <v>3143</v>
      </c>
      <c r="GR60" s="36">
        <v>1583</v>
      </c>
      <c r="GS60" s="36">
        <v>1165</v>
      </c>
      <c r="GT60" s="36">
        <v>1057</v>
      </c>
      <c r="GU60" s="1">
        <v>676</v>
      </c>
      <c r="GV60" s="1">
        <v>716</v>
      </c>
      <c r="GW60" s="36">
        <v>1003</v>
      </c>
      <c r="GX60" s="36">
        <v>1253</v>
      </c>
      <c r="GY60" s="55">
        <v>1561</v>
      </c>
      <c r="GZ60" s="36">
        <v>1602</v>
      </c>
      <c r="HA60" s="36">
        <v>1366</v>
      </c>
      <c r="HB60" s="36">
        <v>1177</v>
      </c>
      <c r="HC60" s="1">
        <v>984</v>
      </c>
      <c r="HD60" s="1">
        <v>678</v>
      </c>
      <c r="HE60" s="1">
        <v>441</v>
      </c>
      <c r="HF60" s="1">
        <v>370</v>
      </c>
      <c r="HG60" s="1">
        <v>319</v>
      </c>
      <c r="HH60" s="1">
        <v>301</v>
      </c>
      <c r="HI60" s="1">
        <v>301</v>
      </c>
      <c r="HJ60" s="1">
        <v>275</v>
      </c>
      <c r="HK60" s="48">
        <v>301</v>
      </c>
      <c r="HL60" s="1">
        <v>287</v>
      </c>
      <c r="HM60" s="1">
        <v>184</v>
      </c>
      <c r="HN60" s="1">
        <v>65</v>
      </c>
      <c r="HO60" s="1">
        <v>39</v>
      </c>
      <c r="HP60" s="1">
        <v>36</v>
      </c>
      <c r="HQ60" s="1">
        <v>20</v>
      </c>
      <c r="HR60" s="1">
        <v>11</v>
      </c>
      <c r="HS60" s="1">
        <v>13</v>
      </c>
      <c r="HT60" s="1">
        <v>14</v>
      </c>
      <c r="HU60" s="1">
        <v>14</v>
      </c>
      <c r="HV60" s="1">
        <v>15</v>
      </c>
      <c r="HW60" s="48">
        <v>22</v>
      </c>
      <c r="HX60" s="1">
        <v>24</v>
      </c>
      <c r="HY60" s="1">
        <v>20</v>
      </c>
      <c r="HZ60" s="1">
        <v>10</v>
      </c>
      <c r="IA60" s="1">
        <v>11</v>
      </c>
      <c r="IB60" s="1">
        <v>9</v>
      </c>
      <c r="IC60" s="1">
        <v>5</v>
      </c>
      <c r="ID60" s="1">
        <v>10</v>
      </c>
      <c r="IE60" s="1">
        <v>14</v>
      </c>
      <c r="IF60" s="1">
        <v>12</v>
      </c>
      <c r="IG60" s="1">
        <v>15</v>
      </c>
      <c r="IH60" s="1">
        <v>17</v>
      </c>
      <c r="II60" s="55">
        <v>23</v>
      </c>
      <c r="IJ60" s="36">
        <v>21</v>
      </c>
      <c r="IK60" s="36">
        <v>25</v>
      </c>
      <c r="IL60" s="36">
        <v>27</v>
      </c>
      <c r="IM60" s="36">
        <v>31</v>
      </c>
      <c r="IN60" s="36">
        <v>31</v>
      </c>
      <c r="IO60" s="36">
        <v>22</v>
      </c>
      <c r="IP60" s="36">
        <v>31</v>
      </c>
      <c r="IQ60" s="36">
        <v>33</v>
      </c>
      <c r="IR60" s="36">
        <v>48</v>
      </c>
      <c r="IS60" s="36">
        <v>54</v>
      </c>
      <c r="IT60" s="36">
        <v>39</v>
      </c>
      <c r="IU60" s="55">
        <v>63</v>
      </c>
      <c r="IV60" s="36">
        <v>67</v>
      </c>
      <c r="IW60" s="36">
        <v>66</v>
      </c>
      <c r="IX60" s="36">
        <v>65</v>
      </c>
      <c r="IY60" s="36">
        <v>62</v>
      </c>
      <c r="IZ60" s="36">
        <v>64</v>
      </c>
      <c r="JA60" s="36">
        <v>47</v>
      </c>
      <c r="JB60" s="36">
        <v>42</v>
      </c>
      <c r="JC60" s="36">
        <v>48</v>
      </c>
      <c r="JD60" s="36">
        <v>45</v>
      </c>
      <c r="JE60" s="36">
        <v>52</v>
      </c>
      <c r="JF60" s="1">
        <v>42</v>
      </c>
      <c r="JG60" s="48">
        <v>22</v>
      </c>
    </row>
    <row r="61" spans="1:269" ht="13.5" x14ac:dyDescent="0.25">
      <c r="A61" s="1" t="s">
        <v>24</v>
      </c>
      <c r="B61" s="1">
        <v>43</v>
      </c>
      <c r="C61" s="9">
        <v>246</v>
      </c>
      <c r="D61" s="9">
        <v>280</v>
      </c>
      <c r="E61" s="9">
        <v>205</v>
      </c>
      <c r="F61" s="9">
        <v>83</v>
      </c>
      <c r="G61" s="9">
        <v>60</v>
      </c>
      <c r="H61" s="9">
        <v>92</v>
      </c>
      <c r="I61" s="9">
        <v>57</v>
      </c>
      <c r="J61" s="9">
        <v>72</v>
      </c>
      <c r="K61" s="9">
        <v>34</v>
      </c>
      <c r="L61" s="9">
        <v>47</v>
      </c>
      <c r="M61" s="9">
        <v>224</v>
      </c>
      <c r="N61" s="13">
        <v>37</v>
      </c>
      <c r="O61" s="9">
        <v>52</v>
      </c>
      <c r="P61" s="9">
        <v>95</v>
      </c>
      <c r="Q61" s="9">
        <v>218</v>
      </c>
      <c r="R61" s="9">
        <v>204</v>
      </c>
      <c r="S61" s="9">
        <v>69</v>
      </c>
      <c r="T61" s="9">
        <v>192</v>
      </c>
      <c r="U61" s="9">
        <v>40</v>
      </c>
      <c r="V61" s="9">
        <v>37</v>
      </c>
      <c r="W61" s="9">
        <v>53</v>
      </c>
      <c r="X61" s="9">
        <v>32</v>
      </c>
      <c r="Y61" s="9">
        <v>12</v>
      </c>
      <c r="Z61" s="13">
        <v>0</v>
      </c>
      <c r="AA61" s="9">
        <v>1</v>
      </c>
      <c r="AB61" s="9">
        <v>15</v>
      </c>
      <c r="AC61" s="9">
        <v>1</v>
      </c>
      <c r="AD61" s="9">
        <v>6</v>
      </c>
      <c r="AE61" s="9"/>
      <c r="AF61" s="9"/>
      <c r="AG61" s="9"/>
      <c r="AH61" s="9"/>
      <c r="AI61" s="9"/>
      <c r="AJ61" s="9">
        <v>2</v>
      </c>
      <c r="AK61" s="9">
        <v>3</v>
      </c>
      <c r="AL61" s="13">
        <v>3</v>
      </c>
      <c r="AM61" s="9">
        <v>2</v>
      </c>
      <c r="AN61" s="9">
        <v>6</v>
      </c>
      <c r="AO61" s="9">
        <v>17</v>
      </c>
      <c r="AP61" s="9">
        <v>17</v>
      </c>
      <c r="AQ61" s="9">
        <v>11</v>
      </c>
      <c r="AR61" s="9">
        <v>8</v>
      </c>
      <c r="AS61" s="9">
        <v>7</v>
      </c>
      <c r="AT61" s="9">
        <v>4</v>
      </c>
      <c r="AU61" s="9">
        <v>4</v>
      </c>
      <c r="AV61" s="9">
        <v>6</v>
      </c>
      <c r="AW61" s="9"/>
      <c r="AX61" s="13">
        <v>0</v>
      </c>
      <c r="AY61" s="9"/>
      <c r="AZ61" s="9"/>
      <c r="BA61" s="9"/>
      <c r="BB61" s="9">
        <v>0</v>
      </c>
      <c r="BC61" s="9">
        <v>2</v>
      </c>
      <c r="BD61" s="9">
        <v>46</v>
      </c>
      <c r="BE61" s="9">
        <v>72</v>
      </c>
      <c r="BF61" s="9">
        <v>75</v>
      </c>
      <c r="BG61" s="9">
        <v>55</v>
      </c>
      <c r="BH61" s="9">
        <v>50</v>
      </c>
      <c r="BI61" s="9">
        <v>172</v>
      </c>
      <c r="BJ61" s="13">
        <v>528</v>
      </c>
      <c r="BK61" s="9">
        <v>1140</v>
      </c>
      <c r="BL61" s="9">
        <v>2097</v>
      </c>
      <c r="BM61" s="9">
        <v>3685</v>
      </c>
      <c r="BN61" s="9">
        <v>5062</v>
      </c>
      <c r="BO61" s="9">
        <v>4873</v>
      </c>
      <c r="BP61" s="9">
        <v>4627</v>
      </c>
      <c r="BQ61" s="9">
        <v>2975</v>
      </c>
      <c r="BR61" s="9">
        <v>3195</v>
      </c>
      <c r="BS61" s="9">
        <v>3145</v>
      </c>
      <c r="BT61" s="9">
        <v>2961</v>
      </c>
      <c r="BU61" s="9">
        <v>2616</v>
      </c>
      <c r="BV61" s="13">
        <v>2091</v>
      </c>
      <c r="BW61" s="9">
        <v>1696</v>
      </c>
      <c r="BX61" s="9">
        <v>1366</v>
      </c>
      <c r="BY61" s="9">
        <v>940</v>
      </c>
      <c r="BZ61" s="9">
        <v>691</v>
      </c>
      <c r="CA61" s="9">
        <v>439</v>
      </c>
      <c r="CB61" s="9">
        <v>314</v>
      </c>
      <c r="CC61" s="9">
        <v>360</v>
      </c>
      <c r="CD61" s="9">
        <v>303</v>
      </c>
      <c r="CE61" s="9">
        <v>211</v>
      </c>
      <c r="CF61" s="9">
        <v>282</v>
      </c>
      <c r="CG61" s="9">
        <v>174</v>
      </c>
      <c r="CH61" s="13">
        <v>124</v>
      </c>
      <c r="CI61" s="9">
        <v>135</v>
      </c>
      <c r="CJ61" s="9">
        <v>223</v>
      </c>
      <c r="CK61" s="9">
        <v>91</v>
      </c>
      <c r="CL61" s="9">
        <v>229</v>
      </c>
      <c r="CM61" s="9">
        <v>227</v>
      </c>
      <c r="CN61" s="9">
        <v>257</v>
      </c>
      <c r="CO61" s="9">
        <v>316</v>
      </c>
      <c r="CP61" s="9">
        <v>173</v>
      </c>
      <c r="CQ61" s="9">
        <v>281</v>
      </c>
      <c r="CR61" s="9">
        <v>206</v>
      </c>
      <c r="CS61" s="9">
        <v>245</v>
      </c>
      <c r="CT61" s="13">
        <v>112</v>
      </c>
      <c r="CU61" s="9">
        <v>174</v>
      </c>
      <c r="CV61" s="9">
        <v>291</v>
      </c>
      <c r="CW61" s="9">
        <v>278</v>
      </c>
      <c r="CX61" s="9">
        <v>332</v>
      </c>
      <c r="CY61" s="9">
        <v>222</v>
      </c>
      <c r="CZ61" s="9">
        <v>488</v>
      </c>
      <c r="DA61" s="9">
        <v>230</v>
      </c>
      <c r="DB61" s="9">
        <v>292</v>
      </c>
      <c r="DC61" s="9">
        <v>428</v>
      </c>
      <c r="DD61" s="9">
        <v>500</v>
      </c>
      <c r="DE61" s="9">
        <v>827</v>
      </c>
      <c r="DF61" s="13">
        <v>660</v>
      </c>
      <c r="DG61" s="9">
        <v>1082</v>
      </c>
      <c r="DH61" s="9">
        <v>671</v>
      </c>
      <c r="DI61" s="9">
        <v>875</v>
      </c>
      <c r="DJ61" s="9">
        <v>691</v>
      </c>
      <c r="DK61" s="9">
        <v>714</v>
      </c>
      <c r="DL61" s="9">
        <v>738</v>
      </c>
      <c r="DM61" s="9">
        <v>240</v>
      </c>
      <c r="DN61" s="9">
        <v>227</v>
      </c>
      <c r="DO61" s="9">
        <v>385</v>
      </c>
      <c r="DP61" s="9">
        <v>303</v>
      </c>
      <c r="DQ61" s="9">
        <v>328</v>
      </c>
      <c r="DR61" s="13">
        <v>224</v>
      </c>
      <c r="DS61" s="9">
        <v>232</v>
      </c>
      <c r="DT61" s="9">
        <v>100</v>
      </c>
      <c r="DU61" s="9">
        <v>179</v>
      </c>
      <c r="DV61" s="9">
        <v>88</v>
      </c>
      <c r="DW61" s="9">
        <v>18</v>
      </c>
      <c r="DX61" s="9">
        <v>67</v>
      </c>
      <c r="DY61" s="9">
        <v>25</v>
      </c>
      <c r="DZ61" s="9">
        <v>156</v>
      </c>
      <c r="EA61" s="9">
        <v>441</v>
      </c>
      <c r="EB61" s="9">
        <v>229</v>
      </c>
      <c r="EC61" s="9">
        <v>182</v>
      </c>
      <c r="ED61" s="13">
        <v>76</v>
      </c>
      <c r="EE61" s="9">
        <v>166</v>
      </c>
      <c r="EF61" s="9">
        <v>130</v>
      </c>
      <c r="EG61" s="9">
        <v>427</v>
      </c>
      <c r="EH61" s="9">
        <v>515</v>
      </c>
      <c r="EI61" s="9">
        <v>189</v>
      </c>
      <c r="EJ61" s="9">
        <v>144</v>
      </c>
      <c r="EK61" s="9">
        <v>98</v>
      </c>
      <c r="EL61" s="9">
        <v>86</v>
      </c>
      <c r="EM61" s="9">
        <v>217</v>
      </c>
      <c r="EN61" s="9">
        <v>421</v>
      </c>
      <c r="EO61" s="9">
        <v>343</v>
      </c>
      <c r="EP61" s="13">
        <v>427</v>
      </c>
      <c r="EQ61" s="9">
        <v>595</v>
      </c>
      <c r="ER61" s="9">
        <v>534</v>
      </c>
      <c r="ES61" s="9">
        <v>496</v>
      </c>
      <c r="ET61" s="9">
        <v>460</v>
      </c>
      <c r="EU61" s="1">
        <v>555</v>
      </c>
      <c r="EV61" s="1">
        <v>542</v>
      </c>
      <c r="EW61" s="9">
        <v>387</v>
      </c>
      <c r="EX61" s="9">
        <v>320</v>
      </c>
      <c r="EY61" s="9">
        <v>548</v>
      </c>
      <c r="EZ61" s="9">
        <v>370</v>
      </c>
      <c r="FA61" s="9">
        <v>424</v>
      </c>
      <c r="FB61" s="6">
        <v>303</v>
      </c>
      <c r="FC61" s="9">
        <v>179</v>
      </c>
      <c r="FD61" s="1">
        <v>243</v>
      </c>
      <c r="FE61" s="1">
        <v>169</v>
      </c>
      <c r="FF61" s="37">
        <v>261</v>
      </c>
      <c r="FG61" s="1">
        <v>188</v>
      </c>
      <c r="FH61" s="1">
        <v>188</v>
      </c>
      <c r="FI61" s="32">
        <v>120</v>
      </c>
      <c r="FJ61" s="1">
        <v>15</v>
      </c>
      <c r="FK61" s="1">
        <v>68</v>
      </c>
      <c r="FL61" s="1">
        <v>71</v>
      </c>
      <c r="FM61" s="1">
        <v>88</v>
      </c>
      <c r="FN61" s="6">
        <v>28</v>
      </c>
      <c r="FO61" s="1">
        <v>87</v>
      </c>
      <c r="FP61" s="1">
        <v>54</v>
      </c>
      <c r="FQ61" s="1">
        <v>97</v>
      </c>
      <c r="FR61" s="1">
        <v>61</v>
      </c>
      <c r="FS61" s="1">
        <v>36</v>
      </c>
      <c r="FT61" s="1">
        <v>10</v>
      </c>
      <c r="FU61" s="1">
        <v>10</v>
      </c>
      <c r="FV61" s="1">
        <v>3</v>
      </c>
      <c r="FW61" s="1">
        <v>5</v>
      </c>
      <c r="FX61" s="1">
        <v>155</v>
      </c>
      <c r="FY61" s="1">
        <v>154</v>
      </c>
      <c r="FZ61" s="1">
        <v>205</v>
      </c>
      <c r="GA61" s="48">
        <v>152</v>
      </c>
      <c r="GB61" s="1">
        <v>152</v>
      </c>
      <c r="GC61" s="1">
        <v>143</v>
      </c>
      <c r="GD61" s="1">
        <v>12</v>
      </c>
      <c r="GE61" s="54">
        <v>146</v>
      </c>
      <c r="GF61" s="54">
        <v>161</v>
      </c>
      <c r="GG61" s="54">
        <v>147</v>
      </c>
      <c r="GH61" s="1">
        <v>28</v>
      </c>
      <c r="GI61" s="1">
        <v>205</v>
      </c>
      <c r="GJ61" s="1">
        <v>298</v>
      </c>
      <c r="GK61" s="1">
        <v>384</v>
      </c>
      <c r="GL61" s="1">
        <v>201</v>
      </c>
      <c r="GM61" s="48">
        <v>291</v>
      </c>
      <c r="GN61" s="1">
        <v>263</v>
      </c>
      <c r="GO61" s="36">
        <v>23771</v>
      </c>
      <c r="GP61" s="36">
        <v>33416</v>
      </c>
      <c r="GQ61" s="36">
        <v>28170</v>
      </c>
      <c r="GR61" s="36">
        <v>16054</v>
      </c>
      <c r="GS61" s="36">
        <v>13625</v>
      </c>
      <c r="GT61" s="36">
        <v>10678</v>
      </c>
      <c r="GU61" s="36">
        <v>7907</v>
      </c>
      <c r="GV61" s="36">
        <v>7856</v>
      </c>
      <c r="GW61" s="36">
        <v>9782</v>
      </c>
      <c r="GX61" s="36">
        <v>12437</v>
      </c>
      <c r="GY61" s="55">
        <v>15006</v>
      </c>
      <c r="GZ61" s="36">
        <v>15153</v>
      </c>
      <c r="HA61" s="36">
        <v>12794</v>
      </c>
      <c r="HB61" s="36">
        <v>8332</v>
      </c>
      <c r="HC61" s="36">
        <v>6217</v>
      </c>
      <c r="HD61" s="36">
        <v>4292</v>
      </c>
      <c r="HE61" s="36">
        <v>2227</v>
      </c>
      <c r="HF61" s="36">
        <v>1709</v>
      </c>
      <c r="HG61" s="36">
        <v>1437</v>
      </c>
      <c r="HH61" s="36">
        <v>1408</v>
      </c>
      <c r="HI61" s="36">
        <v>1647</v>
      </c>
      <c r="HJ61" s="36">
        <v>1847</v>
      </c>
      <c r="HK61" s="55">
        <v>2290</v>
      </c>
      <c r="HL61" s="36">
        <v>1953</v>
      </c>
      <c r="HM61" s="36">
        <v>1046</v>
      </c>
      <c r="HN61" s="36">
        <v>521</v>
      </c>
      <c r="HO61" s="1">
        <v>459</v>
      </c>
      <c r="HP61" s="1">
        <v>503</v>
      </c>
      <c r="HQ61" s="1">
        <v>329</v>
      </c>
      <c r="HR61" s="1">
        <v>255</v>
      </c>
      <c r="HS61" s="1">
        <v>251</v>
      </c>
      <c r="HT61" s="1">
        <v>236</v>
      </c>
      <c r="HU61" s="1">
        <v>226</v>
      </c>
      <c r="HV61" s="1">
        <v>435</v>
      </c>
      <c r="HW61" s="48">
        <v>611</v>
      </c>
      <c r="HX61" s="1">
        <v>466</v>
      </c>
      <c r="HY61" s="1">
        <v>520</v>
      </c>
      <c r="HZ61" s="1">
        <v>221</v>
      </c>
      <c r="IA61" s="1">
        <v>155</v>
      </c>
      <c r="IB61" s="1">
        <v>146</v>
      </c>
      <c r="IC61" s="1">
        <v>139</v>
      </c>
      <c r="ID61" s="1">
        <v>300</v>
      </c>
      <c r="IE61" s="1">
        <v>287</v>
      </c>
      <c r="IF61" s="1">
        <v>262</v>
      </c>
      <c r="IG61" s="1">
        <v>514</v>
      </c>
      <c r="IH61" s="1">
        <v>399</v>
      </c>
      <c r="II61" s="55">
        <v>512</v>
      </c>
      <c r="IJ61" s="36">
        <v>465</v>
      </c>
      <c r="IK61" s="36">
        <v>609</v>
      </c>
      <c r="IL61" s="36">
        <v>466</v>
      </c>
      <c r="IM61" s="36">
        <v>687</v>
      </c>
      <c r="IN61" s="36">
        <v>577</v>
      </c>
      <c r="IO61" s="36">
        <v>337</v>
      </c>
      <c r="IP61" s="36">
        <v>632</v>
      </c>
      <c r="IQ61" s="36">
        <v>698</v>
      </c>
      <c r="IR61" s="36">
        <v>1172</v>
      </c>
      <c r="IS61" s="36">
        <v>1028</v>
      </c>
      <c r="IT61" s="36">
        <v>595</v>
      </c>
      <c r="IU61" s="55">
        <v>1003</v>
      </c>
      <c r="IV61" s="36">
        <v>1003</v>
      </c>
      <c r="IW61" s="36">
        <v>965</v>
      </c>
      <c r="IX61" s="36">
        <v>926</v>
      </c>
      <c r="IY61" s="36">
        <v>947</v>
      </c>
      <c r="IZ61" s="36">
        <v>1120</v>
      </c>
      <c r="JA61" s="36">
        <v>695</v>
      </c>
      <c r="JB61" s="36">
        <v>632</v>
      </c>
      <c r="JC61" s="36">
        <v>606</v>
      </c>
      <c r="JD61" s="36">
        <v>558</v>
      </c>
      <c r="JE61" s="36">
        <v>693</v>
      </c>
      <c r="JF61" s="1">
        <v>451</v>
      </c>
      <c r="JG61" s="48">
        <v>174</v>
      </c>
    </row>
    <row r="62" spans="1:269" ht="13.5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13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3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3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13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13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13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13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13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13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13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13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13"/>
      <c r="EQ62" s="9"/>
      <c r="ER62" s="9"/>
      <c r="ES62" s="9"/>
      <c r="ET62" s="9"/>
      <c r="EW62" s="9"/>
      <c r="EX62" s="9"/>
      <c r="EY62" s="9"/>
      <c r="EZ62" s="9"/>
      <c r="FA62" s="9"/>
      <c r="FC62" s="9"/>
      <c r="FF62" s="37"/>
      <c r="FI62" s="32"/>
      <c r="FN62" s="6"/>
      <c r="GA62" s="48"/>
      <c r="GM62" s="48"/>
      <c r="GX62" s="6"/>
      <c r="HJ62" s="6"/>
      <c r="HW62" s="48"/>
      <c r="II62" s="48"/>
      <c r="IT62" s="6"/>
      <c r="JG62" s="48"/>
    </row>
    <row r="63" spans="1:269" ht="13.5" x14ac:dyDescent="0.25">
      <c r="A63" s="1" t="s">
        <v>25</v>
      </c>
      <c r="B63" s="1">
        <v>44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13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3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3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13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13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13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13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13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13"/>
      <c r="DG63" s="9">
        <v>27</v>
      </c>
      <c r="DH63" s="9">
        <v>23</v>
      </c>
      <c r="DI63" s="9">
        <v>23</v>
      </c>
      <c r="DJ63" s="9">
        <v>28</v>
      </c>
      <c r="DK63" s="9">
        <v>16</v>
      </c>
      <c r="DL63" s="9">
        <v>23</v>
      </c>
      <c r="DM63" s="9">
        <v>10</v>
      </c>
      <c r="DN63" s="9">
        <v>9</v>
      </c>
      <c r="DO63" s="9">
        <v>11</v>
      </c>
      <c r="DP63" s="9">
        <v>25</v>
      </c>
      <c r="DQ63" s="9">
        <v>12</v>
      </c>
      <c r="DR63" s="13">
        <v>12</v>
      </c>
      <c r="DS63" s="9">
        <v>18</v>
      </c>
      <c r="DT63" s="9">
        <v>9</v>
      </c>
      <c r="DU63" s="9">
        <v>8</v>
      </c>
      <c r="DV63" s="9">
        <v>5</v>
      </c>
      <c r="DW63" s="9">
        <v>7</v>
      </c>
      <c r="DX63" s="9">
        <v>3</v>
      </c>
      <c r="DY63" s="9">
        <v>2</v>
      </c>
      <c r="DZ63" s="9">
        <v>2</v>
      </c>
      <c r="EA63" s="9">
        <v>10</v>
      </c>
      <c r="EB63" s="9">
        <v>11</v>
      </c>
      <c r="EC63" s="9">
        <v>7</v>
      </c>
      <c r="ED63" s="13">
        <v>7</v>
      </c>
      <c r="EE63" s="9">
        <v>9</v>
      </c>
      <c r="EF63" s="9">
        <v>30</v>
      </c>
      <c r="EG63" s="9">
        <v>24</v>
      </c>
      <c r="EH63" s="9">
        <v>9</v>
      </c>
      <c r="EI63" s="9">
        <v>19</v>
      </c>
      <c r="EJ63" s="9">
        <v>11</v>
      </c>
      <c r="EK63" s="9">
        <v>13</v>
      </c>
      <c r="EL63" s="9">
        <v>11</v>
      </c>
      <c r="EM63" s="9">
        <v>13</v>
      </c>
      <c r="EN63" s="9">
        <v>15</v>
      </c>
      <c r="EO63" s="9">
        <v>12</v>
      </c>
      <c r="EP63" s="13">
        <v>24</v>
      </c>
      <c r="EQ63" s="9">
        <v>15</v>
      </c>
      <c r="ER63" s="9">
        <v>23</v>
      </c>
      <c r="ES63" s="9">
        <v>30</v>
      </c>
      <c r="ET63" s="9">
        <v>20</v>
      </c>
      <c r="EU63" s="1">
        <v>8</v>
      </c>
      <c r="EV63" s="1">
        <v>22</v>
      </c>
      <c r="EW63" s="9">
        <v>21</v>
      </c>
      <c r="EX63" s="9">
        <v>12</v>
      </c>
      <c r="EY63" s="9">
        <v>15</v>
      </c>
      <c r="EZ63" s="9">
        <v>19</v>
      </c>
      <c r="FA63" s="9">
        <v>16</v>
      </c>
      <c r="FB63" s="6">
        <v>18</v>
      </c>
      <c r="FC63" s="1">
        <v>11</v>
      </c>
      <c r="FD63" s="1">
        <v>10</v>
      </c>
      <c r="FE63" s="1">
        <v>12</v>
      </c>
      <c r="FF63" s="37">
        <v>16</v>
      </c>
      <c r="FG63" s="1">
        <v>6</v>
      </c>
      <c r="FH63" s="1">
        <v>8</v>
      </c>
      <c r="FI63" s="32">
        <v>8</v>
      </c>
      <c r="FJ63" s="1">
        <v>6</v>
      </c>
      <c r="FK63" s="1">
        <v>4</v>
      </c>
      <c r="FL63" s="1">
        <v>6</v>
      </c>
      <c r="FM63" s="1">
        <v>6</v>
      </c>
      <c r="FN63" s="6">
        <v>7</v>
      </c>
      <c r="FO63" s="1">
        <v>5</v>
      </c>
      <c r="FP63" s="1">
        <v>1</v>
      </c>
      <c r="FQ63" s="1">
        <v>4</v>
      </c>
      <c r="FR63" s="1">
        <v>3</v>
      </c>
      <c r="FS63" s="1">
        <v>3</v>
      </c>
      <c r="FT63" s="1">
        <v>6</v>
      </c>
      <c r="FU63" s="1">
        <v>0</v>
      </c>
      <c r="FV63" s="1">
        <v>0</v>
      </c>
      <c r="FW63" s="1">
        <v>4</v>
      </c>
      <c r="FX63" s="30">
        <v>3</v>
      </c>
      <c r="FY63" s="1">
        <v>2</v>
      </c>
      <c r="FZ63" s="1">
        <v>2</v>
      </c>
      <c r="GA63" s="48">
        <v>4</v>
      </c>
      <c r="GB63" s="1">
        <v>3</v>
      </c>
      <c r="GC63" s="1">
        <v>1</v>
      </c>
      <c r="GD63" s="1">
        <v>3</v>
      </c>
      <c r="GE63" s="1">
        <v>5</v>
      </c>
      <c r="GF63" s="1">
        <v>3</v>
      </c>
      <c r="GG63" s="1">
        <v>0</v>
      </c>
      <c r="GH63" s="1">
        <v>4</v>
      </c>
      <c r="GI63" s="1">
        <v>4</v>
      </c>
      <c r="GJ63" s="51">
        <v>7</v>
      </c>
      <c r="GK63" s="1">
        <v>6</v>
      </c>
      <c r="GL63" s="1">
        <v>11</v>
      </c>
      <c r="GM63" s="48">
        <v>8</v>
      </c>
      <c r="GN63" s="51">
        <v>9</v>
      </c>
      <c r="GO63" s="51">
        <v>458</v>
      </c>
      <c r="GP63" s="52">
        <v>4226</v>
      </c>
      <c r="GQ63" s="1">
        <v>495</v>
      </c>
      <c r="GR63" s="1">
        <v>284</v>
      </c>
      <c r="GS63" s="1">
        <v>875</v>
      </c>
      <c r="GT63" s="1">
        <v>4805</v>
      </c>
      <c r="GU63" s="1">
        <v>335</v>
      </c>
      <c r="GV63" s="1">
        <v>252</v>
      </c>
      <c r="GW63" s="1">
        <v>863</v>
      </c>
      <c r="GX63" s="6">
        <v>587</v>
      </c>
      <c r="GY63" s="1">
        <v>807</v>
      </c>
      <c r="GZ63" s="1">
        <v>833</v>
      </c>
      <c r="HA63" s="1">
        <v>688</v>
      </c>
      <c r="HB63" s="1">
        <v>770</v>
      </c>
      <c r="HC63" s="1">
        <v>448</v>
      </c>
      <c r="HD63" s="1">
        <v>133</v>
      </c>
      <c r="HE63" s="1">
        <v>75</v>
      </c>
      <c r="HF63" s="1">
        <v>101</v>
      </c>
      <c r="HG63" s="1">
        <v>92</v>
      </c>
      <c r="HH63" s="1">
        <v>83</v>
      </c>
      <c r="HI63" s="1">
        <v>140</v>
      </c>
      <c r="HJ63" s="6">
        <v>213</v>
      </c>
      <c r="HK63" s="1">
        <v>218</v>
      </c>
      <c r="HL63" s="1">
        <v>106</v>
      </c>
      <c r="HM63" s="1">
        <v>84</v>
      </c>
      <c r="HN63" s="1">
        <v>19</v>
      </c>
      <c r="HO63" s="1">
        <v>37</v>
      </c>
      <c r="HP63" s="1">
        <v>52</v>
      </c>
      <c r="HQ63" s="1">
        <v>19</v>
      </c>
      <c r="HR63" s="1">
        <v>24</v>
      </c>
      <c r="HS63" s="1">
        <v>38</v>
      </c>
      <c r="HT63" s="1">
        <v>17</v>
      </c>
      <c r="HU63" s="1">
        <v>15</v>
      </c>
      <c r="HV63" s="1">
        <v>10</v>
      </c>
      <c r="HW63" s="48">
        <v>32</v>
      </c>
      <c r="HX63" s="1">
        <v>9</v>
      </c>
      <c r="HY63" s="1">
        <v>22</v>
      </c>
      <c r="HZ63" s="1">
        <v>0</v>
      </c>
      <c r="IA63" s="1">
        <v>9</v>
      </c>
      <c r="IB63" s="1">
        <v>4</v>
      </c>
      <c r="IC63" s="1">
        <v>16</v>
      </c>
      <c r="ID63" s="1">
        <v>16</v>
      </c>
      <c r="IE63" s="1">
        <v>16</v>
      </c>
      <c r="IF63" s="1">
        <v>16</v>
      </c>
      <c r="IG63" s="1">
        <v>7</v>
      </c>
      <c r="IH63" s="1">
        <v>16</v>
      </c>
      <c r="II63" s="48">
        <v>5</v>
      </c>
      <c r="IJ63" s="1">
        <v>17</v>
      </c>
      <c r="IK63" s="1">
        <v>19</v>
      </c>
      <c r="IL63" s="1">
        <v>11</v>
      </c>
      <c r="IM63" s="1">
        <v>16</v>
      </c>
      <c r="IN63" s="1">
        <v>21</v>
      </c>
      <c r="IO63" s="1">
        <v>25</v>
      </c>
      <c r="IP63" s="1">
        <v>17</v>
      </c>
      <c r="IQ63" s="1">
        <v>33</v>
      </c>
      <c r="IR63" s="1">
        <v>27</v>
      </c>
      <c r="IS63" s="1">
        <v>25</v>
      </c>
      <c r="IT63" s="6">
        <v>30</v>
      </c>
      <c r="IU63" s="1">
        <v>30</v>
      </c>
      <c r="IV63" s="1">
        <v>44</v>
      </c>
      <c r="IW63" s="1">
        <v>47</v>
      </c>
      <c r="IX63" s="1">
        <v>27</v>
      </c>
      <c r="IY63" s="1">
        <v>37</v>
      </c>
      <c r="IZ63" s="1">
        <v>25</v>
      </c>
      <c r="JA63" s="1">
        <v>19</v>
      </c>
      <c r="JB63" s="1">
        <v>40</v>
      </c>
      <c r="JC63" s="1">
        <v>26</v>
      </c>
      <c r="JD63" s="1">
        <v>26</v>
      </c>
      <c r="JE63" s="1">
        <v>32</v>
      </c>
      <c r="JF63" s="1">
        <v>23</v>
      </c>
      <c r="JG63" s="48">
        <v>28</v>
      </c>
      <c r="JH63" s="1">
        <v>24</v>
      </c>
      <c r="JI63" s="1">
        <v>25</v>
      </c>
    </row>
    <row r="64" spans="1:269" ht="13.5" x14ac:dyDescent="0.25">
      <c r="A64" s="1" t="s">
        <v>26</v>
      </c>
      <c r="B64" s="1">
        <v>45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3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3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13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13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13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13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13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13"/>
      <c r="DG64" s="9">
        <v>21</v>
      </c>
      <c r="DH64" s="9">
        <v>18</v>
      </c>
      <c r="DI64" s="9">
        <v>22</v>
      </c>
      <c r="DJ64" s="9">
        <v>28</v>
      </c>
      <c r="DK64" s="9">
        <v>15</v>
      </c>
      <c r="DL64" s="9">
        <v>23</v>
      </c>
      <c r="DM64" s="9">
        <v>10</v>
      </c>
      <c r="DN64" s="9">
        <v>8</v>
      </c>
      <c r="DO64" s="9">
        <v>11</v>
      </c>
      <c r="DP64" s="9">
        <v>24</v>
      </c>
      <c r="DQ64" s="9">
        <v>10</v>
      </c>
      <c r="DR64" s="13">
        <v>8</v>
      </c>
      <c r="DS64" s="9">
        <v>15</v>
      </c>
      <c r="DT64" s="9">
        <v>5</v>
      </c>
      <c r="DU64" s="9">
        <v>4</v>
      </c>
      <c r="DV64" s="9">
        <v>2</v>
      </c>
      <c r="DW64" s="9">
        <v>6</v>
      </c>
      <c r="DX64" s="9">
        <v>3</v>
      </c>
      <c r="DY64" s="9">
        <v>2</v>
      </c>
      <c r="DZ64" s="9">
        <v>2</v>
      </c>
      <c r="EA64" s="9">
        <v>9</v>
      </c>
      <c r="EB64" s="9">
        <v>9</v>
      </c>
      <c r="EC64" s="9">
        <v>7</v>
      </c>
      <c r="ED64" s="13">
        <v>5</v>
      </c>
      <c r="EE64" s="9">
        <v>7</v>
      </c>
      <c r="EF64" s="9">
        <v>29</v>
      </c>
      <c r="EG64" s="9">
        <v>23</v>
      </c>
      <c r="EH64" s="9">
        <v>9</v>
      </c>
      <c r="EI64" s="9">
        <v>19</v>
      </c>
      <c r="EJ64" s="9">
        <v>8</v>
      </c>
      <c r="EK64" s="9">
        <v>13</v>
      </c>
      <c r="EL64" s="9">
        <v>10</v>
      </c>
      <c r="EM64" s="9">
        <v>12</v>
      </c>
      <c r="EN64" s="9">
        <v>15</v>
      </c>
      <c r="EO64" s="9">
        <v>11</v>
      </c>
      <c r="EP64" s="13">
        <v>22</v>
      </c>
      <c r="EQ64" s="9">
        <v>15</v>
      </c>
      <c r="ER64" s="9">
        <v>20</v>
      </c>
      <c r="ES64" s="9">
        <v>28</v>
      </c>
      <c r="ET64" s="9">
        <v>20</v>
      </c>
      <c r="EU64" s="1">
        <v>6</v>
      </c>
      <c r="EV64" s="1">
        <v>20</v>
      </c>
      <c r="EW64" s="9">
        <v>20</v>
      </c>
      <c r="EX64" s="9">
        <v>12</v>
      </c>
      <c r="EY64" s="9">
        <v>15</v>
      </c>
      <c r="EZ64" s="9">
        <v>19</v>
      </c>
      <c r="FA64" s="9">
        <v>15</v>
      </c>
      <c r="FB64" s="6">
        <v>17</v>
      </c>
      <c r="FC64" s="1">
        <v>10</v>
      </c>
      <c r="FD64" s="1">
        <v>7</v>
      </c>
      <c r="FE64" s="1">
        <v>11</v>
      </c>
      <c r="FF64" s="37">
        <v>16</v>
      </c>
      <c r="FG64" s="1">
        <v>6</v>
      </c>
      <c r="FH64" s="1">
        <v>8</v>
      </c>
      <c r="FI64" s="32">
        <v>6</v>
      </c>
      <c r="FJ64" s="1">
        <v>6</v>
      </c>
      <c r="FK64" s="1">
        <v>3</v>
      </c>
      <c r="FL64" s="1">
        <v>6</v>
      </c>
      <c r="FM64" s="1">
        <v>3</v>
      </c>
      <c r="FN64" s="6">
        <v>5</v>
      </c>
      <c r="FO64" s="1">
        <v>4</v>
      </c>
      <c r="FP64" s="1">
        <v>1</v>
      </c>
      <c r="FQ64" s="1">
        <v>3</v>
      </c>
      <c r="FR64" s="1">
        <v>2</v>
      </c>
      <c r="FS64" s="1">
        <v>1</v>
      </c>
      <c r="FT64" s="1">
        <v>4</v>
      </c>
      <c r="FU64" s="1">
        <v>0</v>
      </c>
      <c r="FV64" s="1">
        <v>0</v>
      </c>
      <c r="FW64" s="1">
        <v>4</v>
      </c>
      <c r="FX64" s="30">
        <v>1</v>
      </c>
      <c r="FY64" s="1">
        <v>0</v>
      </c>
      <c r="FZ64" s="1">
        <v>1</v>
      </c>
      <c r="GA64" s="48">
        <v>1</v>
      </c>
      <c r="GB64" s="1">
        <v>1</v>
      </c>
      <c r="GC64" s="1">
        <v>1</v>
      </c>
      <c r="GD64" s="1">
        <v>1</v>
      </c>
      <c r="GE64" s="1">
        <v>3</v>
      </c>
      <c r="GF64" s="1">
        <v>2</v>
      </c>
      <c r="GG64" s="1">
        <v>0</v>
      </c>
      <c r="GH64" s="1">
        <v>4</v>
      </c>
      <c r="GI64" s="1">
        <v>3</v>
      </c>
      <c r="GJ64" s="51">
        <v>6</v>
      </c>
      <c r="GK64" s="1">
        <v>3</v>
      </c>
      <c r="GL64" s="1">
        <v>9</v>
      </c>
      <c r="GM64" s="48">
        <v>7</v>
      </c>
      <c r="GN64" s="51">
        <v>8</v>
      </c>
      <c r="GO64" s="51">
        <v>447</v>
      </c>
      <c r="GP64" s="1">
        <v>4187</v>
      </c>
      <c r="GQ64" s="1">
        <v>375</v>
      </c>
      <c r="GR64" s="1">
        <v>225</v>
      </c>
      <c r="GS64" s="1">
        <v>841</v>
      </c>
      <c r="GT64" s="1">
        <v>4783</v>
      </c>
      <c r="GU64" s="1">
        <v>313</v>
      </c>
      <c r="GV64" s="1">
        <v>233</v>
      </c>
      <c r="GW64" s="1">
        <v>834</v>
      </c>
      <c r="GX64" s="6">
        <v>548</v>
      </c>
      <c r="GY64" s="1">
        <v>789</v>
      </c>
      <c r="GZ64" s="1">
        <v>808</v>
      </c>
      <c r="HA64" s="1">
        <v>665</v>
      </c>
      <c r="HB64" s="1">
        <v>736</v>
      </c>
      <c r="HC64" s="1">
        <v>438</v>
      </c>
      <c r="HD64" s="1">
        <v>125</v>
      </c>
      <c r="HE64" s="1">
        <v>68</v>
      </c>
      <c r="HF64" s="1">
        <v>90</v>
      </c>
      <c r="HG64" s="1">
        <v>71</v>
      </c>
      <c r="HH64" s="1">
        <v>78</v>
      </c>
      <c r="HI64" s="1">
        <v>135</v>
      </c>
      <c r="HJ64" s="6">
        <v>201</v>
      </c>
      <c r="HK64" s="1">
        <v>205</v>
      </c>
      <c r="HL64" s="1">
        <v>92</v>
      </c>
      <c r="HM64" s="1">
        <v>66</v>
      </c>
      <c r="HN64" s="1">
        <v>11</v>
      </c>
      <c r="HO64" s="1">
        <v>24</v>
      </c>
      <c r="HP64" s="1">
        <v>42</v>
      </c>
      <c r="HQ64" s="1">
        <v>13</v>
      </c>
      <c r="HR64" s="1">
        <v>21</v>
      </c>
      <c r="HS64" s="1">
        <v>23</v>
      </c>
      <c r="HT64" s="1">
        <v>7</v>
      </c>
      <c r="HU64" s="1">
        <v>7</v>
      </c>
      <c r="HV64" s="1">
        <v>10</v>
      </c>
      <c r="HW64" s="48">
        <v>23</v>
      </c>
      <c r="HX64" s="1">
        <v>6</v>
      </c>
      <c r="HY64" s="1">
        <v>9</v>
      </c>
      <c r="HZ64" s="1">
        <v>0</v>
      </c>
      <c r="IA64" s="1">
        <v>9</v>
      </c>
      <c r="IB64" s="1">
        <v>4</v>
      </c>
      <c r="IC64" s="1">
        <v>16</v>
      </c>
      <c r="ID64" s="1">
        <v>16</v>
      </c>
      <c r="IE64" s="1">
        <v>16</v>
      </c>
      <c r="IF64" s="1">
        <v>16</v>
      </c>
      <c r="IG64" s="1">
        <v>7</v>
      </c>
      <c r="IH64" s="1">
        <v>16</v>
      </c>
      <c r="II64" s="48">
        <v>5</v>
      </c>
      <c r="IJ64" s="1">
        <v>17</v>
      </c>
      <c r="IK64" s="1">
        <v>19</v>
      </c>
      <c r="IL64" s="1">
        <v>11</v>
      </c>
      <c r="IM64" s="1">
        <v>13</v>
      </c>
      <c r="IN64" s="1">
        <v>17</v>
      </c>
      <c r="IO64" s="1">
        <v>21</v>
      </c>
      <c r="IP64" s="1">
        <v>15</v>
      </c>
      <c r="IQ64" s="1">
        <v>30</v>
      </c>
      <c r="IR64" s="1">
        <v>23</v>
      </c>
      <c r="IS64" s="1">
        <v>19</v>
      </c>
      <c r="IT64" s="6">
        <v>29</v>
      </c>
      <c r="IU64" s="1">
        <v>25</v>
      </c>
      <c r="IV64" s="1">
        <v>37</v>
      </c>
      <c r="IW64" s="1">
        <v>42</v>
      </c>
      <c r="IX64" s="1">
        <v>25</v>
      </c>
      <c r="IY64" s="1">
        <v>36</v>
      </c>
      <c r="IZ64" s="1">
        <v>22</v>
      </c>
      <c r="JA64" s="1">
        <v>12</v>
      </c>
      <c r="JB64" s="1">
        <v>40</v>
      </c>
      <c r="JC64" s="1">
        <v>26</v>
      </c>
      <c r="JD64" s="1">
        <v>25</v>
      </c>
      <c r="JE64" s="1">
        <v>31</v>
      </c>
      <c r="JF64" s="1">
        <v>19</v>
      </c>
      <c r="JG64" s="48">
        <v>24</v>
      </c>
      <c r="JH64" s="1">
        <v>23</v>
      </c>
      <c r="JI64" s="1">
        <v>24</v>
      </c>
    </row>
    <row r="65" spans="1:269" ht="13.5" x14ac:dyDescent="0.25">
      <c r="A65" s="1" t="s">
        <v>27</v>
      </c>
      <c r="B65" s="1">
        <v>46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1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3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3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13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3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13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13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13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13"/>
      <c r="DG65" s="9">
        <v>380</v>
      </c>
      <c r="DH65" s="9">
        <v>416</v>
      </c>
      <c r="DI65" s="9">
        <v>333</v>
      </c>
      <c r="DJ65" s="9">
        <v>887</v>
      </c>
      <c r="DK65" s="9">
        <v>309</v>
      </c>
      <c r="DL65" s="9">
        <v>499</v>
      </c>
      <c r="DM65" s="9">
        <v>151</v>
      </c>
      <c r="DN65" s="9">
        <v>394</v>
      </c>
      <c r="DO65" s="9">
        <v>129</v>
      </c>
      <c r="DP65" s="9">
        <v>692</v>
      </c>
      <c r="DQ65" s="9">
        <v>82</v>
      </c>
      <c r="DR65" s="13">
        <v>146</v>
      </c>
      <c r="DS65" s="9">
        <v>480</v>
      </c>
      <c r="DT65" s="9">
        <v>41</v>
      </c>
      <c r="DU65" s="9">
        <v>67</v>
      </c>
      <c r="DV65" s="9">
        <v>83</v>
      </c>
      <c r="DW65" s="9">
        <v>51</v>
      </c>
      <c r="DX65" s="9">
        <v>60</v>
      </c>
      <c r="DY65" s="9">
        <v>221</v>
      </c>
      <c r="DZ65" s="9">
        <v>50</v>
      </c>
      <c r="EA65" s="9">
        <v>273</v>
      </c>
      <c r="EB65" s="9">
        <v>346</v>
      </c>
      <c r="EC65" s="9">
        <v>53</v>
      </c>
      <c r="ED65" s="13">
        <v>53</v>
      </c>
      <c r="EE65" s="9">
        <v>284</v>
      </c>
      <c r="EF65" s="9">
        <v>590</v>
      </c>
      <c r="EG65" s="9">
        <v>275</v>
      </c>
      <c r="EH65" s="9">
        <v>95</v>
      </c>
      <c r="EI65" s="9">
        <v>389</v>
      </c>
      <c r="EJ65" s="9">
        <v>144</v>
      </c>
      <c r="EK65" s="9">
        <v>81</v>
      </c>
      <c r="EL65" s="9">
        <v>214</v>
      </c>
      <c r="EM65" s="9">
        <v>408</v>
      </c>
      <c r="EN65" s="9">
        <v>129</v>
      </c>
      <c r="EO65" s="9">
        <v>376</v>
      </c>
      <c r="EP65" s="13">
        <v>385</v>
      </c>
      <c r="EQ65" s="9">
        <v>230</v>
      </c>
      <c r="ER65" s="9">
        <v>224</v>
      </c>
      <c r="ES65" s="9">
        <v>464</v>
      </c>
      <c r="ET65" s="9">
        <v>227</v>
      </c>
      <c r="EU65" s="1">
        <v>119</v>
      </c>
      <c r="EV65" s="1">
        <v>330</v>
      </c>
      <c r="EW65" s="9">
        <v>619</v>
      </c>
      <c r="EX65" s="9">
        <v>174</v>
      </c>
      <c r="EY65" s="1">
        <v>113</v>
      </c>
      <c r="EZ65" s="1">
        <v>319</v>
      </c>
      <c r="FA65" s="1">
        <v>214</v>
      </c>
      <c r="FB65" s="6">
        <v>263</v>
      </c>
      <c r="FC65" s="1">
        <v>158</v>
      </c>
      <c r="FD65" s="1">
        <v>71</v>
      </c>
      <c r="FE65" s="1">
        <v>160</v>
      </c>
      <c r="FF65" s="37">
        <v>230</v>
      </c>
      <c r="FG65" s="1">
        <v>68</v>
      </c>
      <c r="FH65" s="1">
        <v>81</v>
      </c>
      <c r="FI65" s="32">
        <v>38</v>
      </c>
      <c r="FJ65" s="1">
        <v>68</v>
      </c>
      <c r="FK65" s="1">
        <v>54</v>
      </c>
      <c r="FL65" s="1">
        <v>54</v>
      </c>
      <c r="FM65" s="1">
        <v>9</v>
      </c>
      <c r="FN65" s="6">
        <v>177</v>
      </c>
      <c r="FO65" s="1">
        <v>51</v>
      </c>
      <c r="FP65" s="1">
        <v>1</v>
      </c>
      <c r="FQ65" s="1">
        <v>14</v>
      </c>
      <c r="FR65" s="1">
        <v>29</v>
      </c>
      <c r="FS65" s="1">
        <v>31</v>
      </c>
      <c r="FT65" s="1">
        <v>16</v>
      </c>
      <c r="FU65" s="1">
        <v>0</v>
      </c>
      <c r="FV65" s="1">
        <v>0</v>
      </c>
      <c r="FW65" s="1">
        <v>235</v>
      </c>
      <c r="FX65" s="30">
        <v>4</v>
      </c>
      <c r="FY65" s="1">
        <v>0</v>
      </c>
      <c r="FZ65" s="1">
        <v>155</v>
      </c>
      <c r="GA65" s="48">
        <v>64</v>
      </c>
      <c r="GB65" s="1">
        <v>4</v>
      </c>
      <c r="GC65" s="1">
        <v>11</v>
      </c>
      <c r="GD65" s="1">
        <v>146</v>
      </c>
      <c r="GE65" s="1">
        <v>80</v>
      </c>
      <c r="GF65" s="1">
        <v>28</v>
      </c>
      <c r="GG65" s="1">
        <v>0</v>
      </c>
      <c r="GH65" s="1">
        <v>74</v>
      </c>
      <c r="GI65" s="1">
        <v>169</v>
      </c>
      <c r="GJ65" s="51">
        <v>256</v>
      </c>
      <c r="GK65" s="1">
        <v>66</v>
      </c>
      <c r="GL65" s="1">
        <v>264</v>
      </c>
      <c r="GM65" s="48">
        <v>86</v>
      </c>
      <c r="GN65" s="51">
        <v>172</v>
      </c>
      <c r="GO65" s="51">
        <v>3455</v>
      </c>
      <c r="GP65" s="1">
        <v>42457</v>
      </c>
      <c r="GQ65" s="1">
        <v>4885</v>
      </c>
      <c r="GR65" s="1">
        <v>5523</v>
      </c>
      <c r="GS65" s="1">
        <v>11643</v>
      </c>
      <c r="GT65" s="1">
        <v>47990</v>
      </c>
      <c r="GU65" s="1">
        <v>3587</v>
      </c>
      <c r="GV65" s="1">
        <v>2432</v>
      </c>
      <c r="GW65" s="1">
        <v>13170</v>
      </c>
      <c r="GX65" s="6">
        <v>6883</v>
      </c>
      <c r="GY65" s="1">
        <v>7464</v>
      </c>
      <c r="GZ65" s="1">
        <v>14273</v>
      </c>
      <c r="HA65" s="1">
        <v>4904</v>
      </c>
      <c r="HB65" s="1">
        <v>8168</v>
      </c>
      <c r="HC65" s="1">
        <v>4076</v>
      </c>
      <c r="HD65" s="1">
        <v>1014</v>
      </c>
      <c r="HE65" s="1">
        <v>502</v>
      </c>
      <c r="HF65" s="1">
        <v>805</v>
      </c>
      <c r="HG65" s="1">
        <v>1261</v>
      </c>
      <c r="HH65" s="1">
        <v>790</v>
      </c>
      <c r="HI65" s="1">
        <v>1103</v>
      </c>
      <c r="HJ65" s="6">
        <v>2204</v>
      </c>
      <c r="HK65" s="59">
        <v>2775</v>
      </c>
      <c r="HL65" s="1">
        <v>870</v>
      </c>
      <c r="HM65" s="1">
        <v>516</v>
      </c>
      <c r="HN65" s="1">
        <v>251</v>
      </c>
      <c r="HO65" s="1">
        <v>470</v>
      </c>
      <c r="HP65" s="1">
        <v>405</v>
      </c>
      <c r="HQ65" s="1">
        <v>87</v>
      </c>
      <c r="HR65" s="1">
        <v>926</v>
      </c>
      <c r="HS65" s="1">
        <v>842</v>
      </c>
      <c r="HT65" s="1">
        <v>55</v>
      </c>
      <c r="HU65" s="1">
        <v>249</v>
      </c>
      <c r="HV65" s="1">
        <v>282</v>
      </c>
      <c r="HW65" s="48">
        <v>709</v>
      </c>
      <c r="HX65" s="1">
        <v>302</v>
      </c>
      <c r="HY65" s="1">
        <v>129</v>
      </c>
      <c r="HZ65" s="1">
        <v>0</v>
      </c>
      <c r="IA65" s="1">
        <v>151</v>
      </c>
      <c r="IB65" s="1">
        <v>161</v>
      </c>
      <c r="IC65" s="1">
        <v>562</v>
      </c>
      <c r="ID65" s="1">
        <v>562</v>
      </c>
      <c r="IE65" s="1">
        <v>562</v>
      </c>
      <c r="IF65" s="1">
        <v>562</v>
      </c>
      <c r="IG65" s="1">
        <v>239</v>
      </c>
      <c r="IH65" s="1">
        <v>400</v>
      </c>
      <c r="II65" s="48">
        <v>163</v>
      </c>
      <c r="IJ65" s="1">
        <v>411</v>
      </c>
      <c r="IK65" s="1">
        <v>531</v>
      </c>
      <c r="IL65" s="1">
        <v>186</v>
      </c>
      <c r="IM65" s="1">
        <v>233</v>
      </c>
      <c r="IN65" s="1">
        <v>475</v>
      </c>
      <c r="IO65" s="1">
        <v>643</v>
      </c>
      <c r="IP65" s="1">
        <v>456</v>
      </c>
      <c r="IQ65" s="1">
        <v>841</v>
      </c>
      <c r="IR65" s="1">
        <v>343</v>
      </c>
      <c r="IS65" s="1">
        <v>400</v>
      </c>
      <c r="IT65" s="6">
        <v>587</v>
      </c>
      <c r="IU65" s="1">
        <v>624</v>
      </c>
      <c r="IV65" s="1">
        <v>893</v>
      </c>
      <c r="IW65" s="1">
        <v>745</v>
      </c>
      <c r="IX65" s="1">
        <v>727</v>
      </c>
      <c r="IY65" s="1">
        <v>544</v>
      </c>
      <c r="IZ65" s="1">
        <v>605</v>
      </c>
      <c r="JA65" s="1">
        <v>102</v>
      </c>
      <c r="JB65" s="1">
        <v>873</v>
      </c>
      <c r="JC65" s="1">
        <v>534</v>
      </c>
      <c r="JD65" s="1">
        <v>503</v>
      </c>
      <c r="JE65" s="1">
        <v>706</v>
      </c>
      <c r="JF65" s="1">
        <v>231</v>
      </c>
      <c r="JG65" s="48">
        <v>425</v>
      </c>
      <c r="JH65" s="1">
        <v>273</v>
      </c>
      <c r="JI65" s="1">
        <v>534</v>
      </c>
    </row>
    <row r="66" spans="1:269" ht="13.5" x14ac:dyDescent="0.25">
      <c r="FF66" s="37"/>
      <c r="FI66" s="32"/>
    </row>
    <row r="67" spans="1:269" ht="26.25" x14ac:dyDescent="0.25">
      <c r="A67" s="8" t="s">
        <v>80</v>
      </c>
      <c r="FF67" s="37"/>
      <c r="FI67" s="32"/>
    </row>
    <row r="68" spans="1:269" x14ac:dyDescent="0.2">
      <c r="FI68" s="32"/>
      <c r="GX68" s="30"/>
    </row>
    <row r="69" spans="1:269" x14ac:dyDescent="0.2">
      <c r="FE69" s="34"/>
      <c r="FI69" s="32"/>
      <c r="GX69" s="30"/>
    </row>
    <row r="70" spans="1:269" x14ac:dyDescent="0.2">
      <c r="FE70" s="34"/>
      <c r="FI70" s="32"/>
      <c r="GX70" s="30"/>
    </row>
    <row r="71" spans="1:269" x14ac:dyDescent="0.2">
      <c r="FE71" s="34"/>
      <c r="FI71" s="32"/>
      <c r="GX71" s="30"/>
    </row>
    <row r="72" spans="1:269" x14ac:dyDescent="0.2">
      <c r="FE72" s="34"/>
      <c r="FI72" s="32"/>
      <c r="GX72" s="30"/>
    </row>
    <row r="73" spans="1:269" ht="13.5" thickBot="1" x14ac:dyDescent="0.25">
      <c r="FE73" s="34"/>
      <c r="FI73" s="32"/>
      <c r="GX73" s="30"/>
    </row>
    <row r="74" spans="1:269" ht="13.5" thickBot="1" x14ac:dyDescent="0.25">
      <c r="FE74" s="34"/>
      <c r="FI74" s="32"/>
      <c r="GX74" s="53"/>
    </row>
    <row r="75" spans="1:269" x14ac:dyDescent="0.2">
      <c r="FE75" s="34"/>
      <c r="FI75" s="32"/>
      <c r="GX75" s="30"/>
    </row>
    <row r="76" spans="1:269" x14ac:dyDescent="0.2">
      <c r="FE76" s="34"/>
      <c r="FI76" s="32"/>
      <c r="GX76" s="30"/>
    </row>
    <row r="77" spans="1:269" x14ac:dyDescent="0.2">
      <c r="FE77" s="34"/>
      <c r="FI77" s="32"/>
      <c r="GU77" s="30"/>
      <c r="GX77" s="30"/>
    </row>
    <row r="78" spans="1:269" x14ac:dyDescent="0.2">
      <c r="FE78" s="34"/>
      <c r="FI78" s="32"/>
      <c r="GU78" s="30"/>
      <c r="GX78" s="30"/>
    </row>
    <row r="79" spans="1:269" x14ac:dyDescent="0.2">
      <c r="FE79" s="34"/>
      <c r="FI79" s="32"/>
    </row>
    <row r="80" spans="1:269" x14ac:dyDescent="0.2">
      <c r="FE80" s="34"/>
      <c r="FI80" s="32"/>
    </row>
    <row r="81" spans="165:165" x14ac:dyDescent="0.2">
      <c r="FI81" s="32"/>
    </row>
    <row r="82" spans="165:165" x14ac:dyDescent="0.2">
      <c r="FI82" s="32"/>
    </row>
    <row r="83" spans="165:165" x14ac:dyDescent="0.2">
      <c r="FI83" s="32"/>
    </row>
    <row r="84" spans="165:165" x14ac:dyDescent="0.2">
      <c r="FI84" s="32"/>
    </row>
  </sheetData>
  <pageMargins left="0.19685039370078741" right="0.15748031496062992" top="0.98425196850393704" bottom="0.98425196850393704" header="0.51181102362204722" footer="0.51181102362204722"/>
  <pageSetup paperSize="9" scale="1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I39"/>
  <sheetViews>
    <sheetView workbookViewId="0">
      <pane xSplit="2" ySplit="1" topLeftCell="ID2" activePane="bottomRight" state="frozen"/>
      <selection pane="topRight" activeCell="C1" sqref="C1"/>
      <selection pane="bottomLeft" activeCell="A2" sqref="A2"/>
      <selection pane="bottomRight" activeCell="JB19" sqref="JB19"/>
    </sheetView>
  </sheetViews>
  <sheetFormatPr baseColWidth="10" defaultRowHeight="12.75" x14ac:dyDescent="0.2"/>
  <cols>
    <col min="1" max="1" width="28.140625" bestFit="1" customWidth="1"/>
    <col min="2" max="2" width="3" bestFit="1" customWidth="1"/>
    <col min="3" max="4" width="7.28515625" bestFit="1" customWidth="1"/>
    <col min="5" max="5" width="7.5703125" bestFit="1" customWidth="1"/>
    <col min="6" max="6" width="7.28515625" bestFit="1" customWidth="1"/>
    <col min="7" max="7" width="7.42578125" bestFit="1" customWidth="1"/>
    <col min="8" max="9" width="7.28515625" bestFit="1" customWidth="1"/>
    <col min="10" max="10" width="7.7109375" bestFit="1" customWidth="1"/>
    <col min="11" max="11" width="7.42578125" bestFit="1" customWidth="1"/>
    <col min="12" max="12" width="7.28515625" bestFit="1" customWidth="1"/>
    <col min="13" max="13" width="7.7109375" bestFit="1" customWidth="1"/>
    <col min="14" max="14" width="7.42578125" bestFit="1" customWidth="1"/>
    <col min="15" max="16" width="7.28515625" bestFit="1" customWidth="1"/>
    <col min="17" max="17" width="7.5703125" bestFit="1" customWidth="1"/>
    <col min="18" max="18" width="7.28515625" bestFit="1" customWidth="1"/>
    <col min="19" max="19" width="7.42578125" bestFit="1" customWidth="1"/>
    <col min="20" max="21" width="7.28515625" bestFit="1" customWidth="1"/>
    <col min="22" max="22" width="7.7109375" bestFit="1" customWidth="1"/>
    <col min="23" max="23" width="7.42578125" bestFit="1" customWidth="1"/>
    <col min="24" max="24" width="7.28515625" bestFit="1" customWidth="1"/>
    <col min="25" max="25" width="7.7109375" bestFit="1" customWidth="1"/>
    <col min="26" max="26" width="7.42578125" bestFit="1" customWidth="1"/>
    <col min="27" max="28" width="7.28515625" bestFit="1" customWidth="1"/>
    <col min="29" max="29" width="7.5703125" bestFit="1" customWidth="1"/>
    <col min="30" max="30" width="7.28515625" bestFit="1" customWidth="1"/>
    <col min="31" max="31" width="7.42578125" bestFit="1" customWidth="1"/>
    <col min="32" max="33" width="7.28515625" bestFit="1" customWidth="1"/>
    <col min="34" max="34" width="7.7109375" bestFit="1" customWidth="1"/>
    <col min="35" max="35" width="7.42578125" bestFit="1" customWidth="1"/>
    <col min="36" max="36" width="7.28515625" bestFit="1" customWidth="1"/>
    <col min="37" max="37" width="7.7109375" bestFit="1" customWidth="1"/>
    <col min="38" max="38" width="7.42578125" bestFit="1" customWidth="1"/>
    <col min="39" max="40" width="7.28515625" bestFit="1" customWidth="1"/>
    <col min="41" max="41" width="7.5703125" bestFit="1" customWidth="1"/>
    <col min="42" max="42" width="7.28515625" bestFit="1" customWidth="1"/>
    <col min="43" max="43" width="7.42578125" bestFit="1" customWidth="1"/>
    <col min="44" max="45" width="7.28515625" bestFit="1" customWidth="1"/>
    <col min="46" max="46" width="7.7109375" bestFit="1" customWidth="1"/>
    <col min="47" max="47" width="7.42578125" bestFit="1" customWidth="1"/>
    <col min="48" max="48" width="7.28515625" bestFit="1" customWidth="1"/>
    <col min="49" max="49" width="7.7109375" bestFit="1" customWidth="1"/>
    <col min="50" max="50" width="7.42578125" bestFit="1" customWidth="1"/>
    <col min="51" max="52" width="7.28515625" bestFit="1" customWidth="1"/>
    <col min="53" max="53" width="7.5703125" bestFit="1" customWidth="1"/>
    <col min="54" max="54" width="7.28515625" bestFit="1" customWidth="1"/>
    <col min="55" max="55" width="7.42578125" bestFit="1" customWidth="1"/>
    <col min="56" max="57" width="7.28515625" bestFit="1" customWidth="1"/>
    <col min="58" max="58" width="7.7109375" bestFit="1" customWidth="1"/>
    <col min="59" max="59" width="7.42578125" bestFit="1" customWidth="1"/>
    <col min="60" max="60" width="7.28515625" bestFit="1" customWidth="1"/>
    <col min="61" max="61" width="7.7109375" bestFit="1" customWidth="1"/>
    <col min="62" max="62" width="7.42578125" bestFit="1" customWidth="1"/>
    <col min="63" max="64" width="7.28515625" bestFit="1" customWidth="1"/>
    <col min="65" max="65" width="7.5703125" bestFit="1" customWidth="1"/>
    <col min="66" max="66" width="7.28515625" bestFit="1" customWidth="1"/>
    <col min="67" max="67" width="7.42578125" bestFit="1" customWidth="1"/>
    <col min="68" max="69" width="7.28515625" bestFit="1" customWidth="1"/>
    <col min="70" max="70" width="7.7109375" bestFit="1" customWidth="1"/>
    <col min="71" max="71" width="7.42578125" bestFit="1" customWidth="1"/>
    <col min="72" max="72" width="7.28515625" bestFit="1" customWidth="1"/>
    <col min="73" max="73" width="7.7109375" bestFit="1" customWidth="1"/>
    <col min="74" max="74" width="7.42578125" bestFit="1" customWidth="1"/>
    <col min="75" max="76" width="7.28515625" bestFit="1" customWidth="1"/>
    <col min="77" max="77" width="7.5703125" bestFit="1" customWidth="1"/>
    <col min="78" max="78" width="7.28515625" bestFit="1" customWidth="1"/>
    <col min="79" max="79" width="7.42578125" bestFit="1" customWidth="1"/>
    <col min="80" max="81" width="7.28515625" bestFit="1" customWidth="1"/>
    <col min="82" max="82" width="7.7109375" bestFit="1" customWidth="1"/>
    <col min="83" max="83" width="7.42578125" bestFit="1" customWidth="1"/>
    <col min="84" max="84" width="7.28515625" bestFit="1" customWidth="1"/>
    <col min="85" max="85" width="7.7109375" bestFit="1" customWidth="1"/>
    <col min="86" max="86" width="7.42578125" bestFit="1" customWidth="1"/>
    <col min="87" max="88" width="7.28515625" bestFit="1" customWidth="1"/>
    <col min="89" max="89" width="7.5703125" bestFit="1" customWidth="1"/>
    <col min="90" max="90" width="7.28515625" bestFit="1" customWidth="1"/>
    <col min="91" max="91" width="7.42578125" bestFit="1" customWidth="1"/>
    <col min="92" max="93" width="7.28515625" bestFit="1" customWidth="1"/>
    <col min="94" max="94" width="7.7109375" bestFit="1" customWidth="1"/>
    <col min="95" max="95" width="7.42578125" bestFit="1" customWidth="1"/>
    <col min="96" max="96" width="7.28515625" bestFit="1" customWidth="1"/>
    <col min="97" max="97" width="7.7109375" bestFit="1" customWidth="1"/>
    <col min="98" max="98" width="7.42578125" bestFit="1" customWidth="1"/>
    <col min="99" max="100" width="7.28515625" bestFit="1" customWidth="1"/>
    <col min="101" max="101" width="7.5703125" bestFit="1" customWidth="1"/>
    <col min="102" max="102" width="7.28515625" bestFit="1" customWidth="1"/>
    <col min="103" max="103" width="7.42578125" bestFit="1" customWidth="1"/>
    <col min="104" max="105" width="7.28515625" bestFit="1" customWidth="1"/>
    <col min="106" max="106" width="7.7109375" bestFit="1" customWidth="1"/>
    <col min="107" max="107" width="7.42578125" bestFit="1" customWidth="1"/>
    <col min="108" max="108" width="7.28515625" bestFit="1" customWidth="1"/>
    <col min="109" max="109" width="7.7109375" bestFit="1" customWidth="1"/>
    <col min="110" max="110" width="7.42578125" bestFit="1" customWidth="1"/>
    <col min="111" max="112" width="7.28515625" bestFit="1" customWidth="1"/>
    <col min="113" max="113" width="7.5703125" bestFit="1" customWidth="1"/>
    <col min="114" max="114" width="7.28515625" bestFit="1" customWidth="1"/>
    <col min="115" max="115" width="7.42578125" bestFit="1" customWidth="1"/>
    <col min="116" max="117" width="7.28515625" bestFit="1" customWidth="1"/>
    <col min="118" max="118" width="7.7109375" bestFit="1" customWidth="1"/>
    <col min="119" max="119" width="7.42578125" bestFit="1" customWidth="1"/>
    <col min="120" max="120" width="7.28515625" bestFit="1" customWidth="1"/>
    <col min="121" max="121" width="7.7109375" bestFit="1" customWidth="1"/>
    <col min="122" max="122" width="7.42578125" bestFit="1" customWidth="1"/>
    <col min="123" max="124" width="7.28515625" bestFit="1" customWidth="1"/>
    <col min="125" max="125" width="7.5703125" bestFit="1" customWidth="1"/>
    <col min="126" max="126" width="7.28515625" bestFit="1" customWidth="1"/>
    <col min="127" max="127" width="7.42578125" bestFit="1" customWidth="1"/>
    <col min="128" max="129" width="7.28515625" bestFit="1" customWidth="1"/>
    <col min="130" max="130" width="7.7109375" bestFit="1" customWidth="1"/>
    <col min="131" max="131" width="7.42578125" bestFit="1" customWidth="1"/>
    <col min="132" max="132" width="7.28515625" bestFit="1" customWidth="1"/>
    <col min="133" max="133" width="7.7109375" bestFit="1" customWidth="1"/>
    <col min="134" max="134" width="7.42578125" bestFit="1" customWidth="1"/>
    <col min="135" max="136" width="7.28515625" bestFit="1" customWidth="1"/>
    <col min="137" max="137" width="7.5703125" bestFit="1" customWidth="1"/>
    <col min="138" max="138" width="7.28515625" bestFit="1" customWidth="1"/>
    <col min="139" max="139" width="7.42578125" bestFit="1" customWidth="1"/>
    <col min="140" max="141" width="7.28515625" bestFit="1" customWidth="1"/>
    <col min="142" max="142" width="7.7109375" bestFit="1" customWidth="1"/>
    <col min="143" max="143" width="7.42578125" bestFit="1" customWidth="1"/>
    <col min="144" max="144" width="7.28515625" bestFit="1" customWidth="1"/>
    <col min="145" max="145" width="7.7109375" bestFit="1" customWidth="1"/>
    <col min="146" max="146" width="7.42578125" bestFit="1" customWidth="1"/>
    <col min="147" max="148" width="7.28515625" bestFit="1" customWidth="1"/>
    <col min="149" max="149" width="7.5703125" bestFit="1" customWidth="1"/>
    <col min="150" max="150" width="7.28515625" bestFit="1" customWidth="1"/>
    <col min="151" max="151" width="7.42578125" bestFit="1" customWidth="1"/>
    <col min="152" max="152" width="7.28515625" bestFit="1" customWidth="1"/>
    <col min="153" max="153" width="6.42578125" bestFit="1" customWidth="1"/>
    <col min="154" max="154" width="7.7109375" bestFit="1" customWidth="1"/>
    <col min="155" max="155" width="7.42578125" bestFit="1" customWidth="1"/>
    <col min="156" max="156" width="7.28515625" bestFit="1" customWidth="1"/>
    <col min="157" max="157" width="7.7109375" bestFit="1" customWidth="1"/>
    <col min="158" max="158" width="7.42578125" style="31" bestFit="1" customWidth="1"/>
    <col min="159" max="159" width="7" bestFit="1" customWidth="1"/>
    <col min="160" max="160" width="7.28515625" bestFit="1" customWidth="1"/>
    <col min="161" max="161" width="7.5703125" bestFit="1" customWidth="1"/>
    <col min="162" max="162" width="7.28515625" bestFit="1" customWidth="1"/>
    <col min="163" max="163" width="7.42578125" bestFit="1" customWidth="1"/>
    <col min="164" max="164" width="7.140625" bestFit="1" customWidth="1"/>
    <col min="165" max="165" width="6.42578125" bestFit="1" customWidth="1"/>
    <col min="166" max="166" width="7.7109375" bestFit="1" customWidth="1"/>
    <col min="167" max="167" width="7.42578125" bestFit="1" customWidth="1"/>
    <col min="168" max="170" width="7.85546875" customWidth="1"/>
    <col min="171" max="171" width="7" bestFit="1" customWidth="1"/>
    <col min="172" max="172" width="7.28515625" bestFit="1" customWidth="1"/>
    <col min="173" max="173" width="7.5703125" bestFit="1" customWidth="1"/>
    <col min="174" max="174" width="7.28515625" bestFit="1" customWidth="1"/>
    <col min="175" max="175" width="7.42578125" bestFit="1" customWidth="1"/>
    <col min="176" max="176" width="7.140625" bestFit="1" customWidth="1"/>
    <col min="177" max="177" width="6.42578125" bestFit="1" customWidth="1"/>
    <col min="178" max="178" width="7.7109375" bestFit="1" customWidth="1"/>
    <col min="179" max="179" width="7.42578125" bestFit="1" customWidth="1"/>
    <col min="180" max="180" width="7.28515625" bestFit="1" customWidth="1"/>
    <col min="181" max="181" width="7.7109375" bestFit="1" customWidth="1"/>
    <col min="182" max="182" width="7.42578125" bestFit="1" customWidth="1"/>
    <col min="183" max="183" width="7" bestFit="1" customWidth="1"/>
    <col min="184" max="184" width="7.28515625" bestFit="1" customWidth="1"/>
    <col min="185" max="185" width="7.7109375" bestFit="1" customWidth="1"/>
    <col min="186" max="186" width="7.28515625" bestFit="1" customWidth="1"/>
    <col min="187" max="187" width="7.42578125" bestFit="1" customWidth="1"/>
    <col min="188" max="188" width="7.140625" bestFit="1" customWidth="1"/>
    <col min="189" max="189" width="6.42578125" bestFit="1" customWidth="1"/>
    <col min="190" max="190" width="7.7109375" bestFit="1" customWidth="1"/>
    <col min="191" max="191" width="7.42578125" bestFit="1" customWidth="1"/>
    <col min="192" max="192" width="7.28515625" bestFit="1" customWidth="1"/>
    <col min="193" max="193" width="7.7109375" bestFit="1" customWidth="1"/>
    <col min="194" max="194" width="7.42578125" bestFit="1" customWidth="1"/>
    <col min="195" max="195" width="7" bestFit="1" customWidth="1"/>
    <col min="196" max="196" width="7.28515625" bestFit="1" customWidth="1"/>
    <col min="197" max="197" width="7.7109375" bestFit="1" customWidth="1"/>
    <col min="198" max="198" width="7.28515625" bestFit="1" customWidth="1"/>
    <col min="199" max="199" width="7.42578125" bestFit="1" customWidth="1"/>
    <col min="200" max="200" width="7.140625" bestFit="1" customWidth="1"/>
    <col min="201" max="201" width="6.42578125" bestFit="1" customWidth="1"/>
    <col min="202" max="202" width="7.7109375" bestFit="1" customWidth="1"/>
    <col min="203" max="203" width="7.42578125" bestFit="1" customWidth="1"/>
    <col min="204" max="204" width="7.28515625" bestFit="1" customWidth="1"/>
    <col min="205" max="205" width="7.7109375" bestFit="1" customWidth="1"/>
    <col min="206" max="206" width="7.42578125" bestFit="1" customWidth="1"/>
    <col min="207" max="207" width="7" bestFit="1" customWidth="1"/>
    <col min="208" max="208" width="7.28515625" bestFit="1" customWidth="1"/>
    <col min="209" max="209" width="7.7109375" bestFit="1" customWidth="1"/>
    <col min="210" max="210" width="7.28515625" bestFit="1" customWidth="1"/>
    <col min="211" max="211" width="7.42578125" bestFit="1" customWidth="1"/>
    <col min="212" max="212" width="7.140625" bestFit="1" customWidth="1"/>
    <col min="213" max="213" width="6.42578125" bestFit="1" customWidth="1"/>
    <col min="214" max="214" width="7.7109375" bestFit="1" customWidth="1"/>
    <col min="215" max="215" width="7.42578125" bestFit="1" customWidth="1"/>
    <col min="216" max="216" width="7.28515625" bestFit="1" customWidth="1"/>
    <col min="217" max="217" width="7.7109375" bestFit="1" customWidth="1"/>
    <col min="218" max="218" width="7.42578125" bestFit="1" customWidth="1"/>
    <col min="219" max="219" width="7" bestFit="1" customWidth="1"/>
    <col min="220" max="220" width="7.28515625" bestFit="1" customWidth="1"/>
    <col min="221" max="221" width="7.7109375" bestFit="1" customWidth="1"/>
    <col min="222" max="222" width="7.28515625" bestFit="1" customWidth="1"/>
    <col min="223" max="223" width="7.42578125" bestFit="1" customWidth="1"/>
    <col min="224" max="224" width="7.140625" bestFit="1" customWidth="1"/>
    <col min="225" max="225" width="6.42578125" bestFit="1" customWidth="1"/>
    <col min="226" max="226" width="7.7109375" bestFit="1" customWidth="1"/>
    <col min="227" max="227" width="7.42578125" bestFit="1" customWidth="1"/>
    <col min="228" max="228" width="7.28515625" bestFit="1" customWidth="1"/>
    <col min="229" max="229" width="7.7109375" bestFit="1" customWidth="1"/>
    <col min="230" max="230" width="7.42578125" bestFit="1" customWidth="1"/>
    <col min="231" max="231" width="7.7109375" customWidth="1"/>
    <col min="232" max="232" width="7.28515625" bestFit="1" customWidth="1"/>
    <col min="233" max="233" width="7.7109375" bestFit="1" customWidth="1"/>
    <col min="234" max="234" width="7.28515625" bestFit="1" customWidth="1"/>
    <col min="235" max="235" width="7.42578125" bestFit="1" customWidth="1"/>
    <col min="236" max="236" width="7.140625" bestFit="1" customWidth="1"/>
    <col min="237" max="237" width="6.42578125" bestFit="1" customWidth="1"/>
    <col min="238" max="238" width="7.7109375" bestFit="1" customWidth="1"/>
    <col min="239" max="239" width="7.42578125" bestFit="1" customWidth="1"/>
    <col min="240" max="240" width="7.28515625" bestFit="1" customWidth="1"/>
    <col min="241" max="241" width="7.7109375" bestFit="1" customWidth="1"/>
    <col min="242" max="242" width="7.42578125" bestFit="1" customWidth="1"/>
    <col min="243" max="243" width="7" style="49" bestFit="1" customWidth="1"/>
    <col min="244" max="244" width="7.28515625" customWidth="1"/>
    <col min="245" max="245" width="7.7109375" bestFit="1" customWidth="1"/>
    <col min="246" max="246" width="7.28515625" bestFit="1" customWidth="1"/>
    <col min="247" max="247" width="7.42578125" bestFit="1" customWidth="1"/>
    <col min="248" max="248" width="7.140625" bestFit="1" customWidth="1"/>
    <col min="249" max="249" width="6.42578125" bestFit="1" customWidth="1"/>
    <col min="250" max="250" width="7.7109375" bestFit="1" customWidth="1"/>
    <col min="251" max="251" width="7.5703125" bestFit="1" customWidth="1"/>
    <col min="252" max="252" width="7.28515625" bestFit="1" customWidth="1"/>
    <col min="253" max="253" width="7.7109375" bestFit="1" customWidth="1"/>
    <col min="254" max="254" width="7.42578125" bestFit="1" customWidth="1"/>
    <col min="255" max="255" width="7" bestFit="1" customWidth="1"/>
    <col min="256" max="256" width="7.28515625" bestFit="1" customWidth="1"/>
    <col min="257" max="257" width="7.7109375" bestFit="1" customWidth="1"/>
    <col min="258" max="258" width="7.28515625" bestFit="1" customWidth="1"/>
    <col min="259" max="259" width="7.42578125" bestFit="1" customWidth="1"/>
    <col min="260" max="260" width="7.140625" bestFit="1" customWidth="1"/>
    <col min="261" max="261" width="6.42578125" bestFit="1" customWidth="1"/>
    <col min="262" max="262" width="7.7109375" bestFit="1" customWidth="1"/>
    <col min="263" max="263" width="7.42578125" bestFit="1" customWidth="1"/>
    <col min="264" max="264" width="7.28515625" bestFit="1" customWidth="1"/>
    <col min="265" max="265" width="7.7109375" bestFit="1" customWidth="1"/>
    <col min="266" max="266" width="7.42578125" bestFit="1" customWidth="1"/>
    <col min="267" max="267" width="7" bestFit="1" customWidth="1"/>
    <col min="268" max="268" width="7.28515625" bestFit="1" customWidth="1"/>
  </cols>
  <sheetData>
    <row r="1" spans="1:269" s="1" customFormat="1" ht="14.25" x14ac:dyDescent="0.25">
      <c r="A1" s="7" t="s">
        <v>0</v>
      </c>
      <c r="B1" s="7" t="s">
        <v>46</v>
      </c>
      <c r="C1" s="7">
        <v>37987</v>
      </c>
      <c r="D1" s="7">
        <v>38018</v>
      </c>
      <c r="E1" s="7">
        <v>38047</v>
      </c>
      <c r="F1" s="7">
        <v>38078</v>
      </c>
      <c r="G1" s="7">
        <v>38108</v>
      </c>
      <c r="H1" s="7">
        <v>38139</v>
      </c>
      <c r="I1" s="7">
        <v>38169</v>
      </c>
      <c r="J1" s="7">
        <v>38200</v>
      </c>
      <c r="K1" s="7">
        <v>38231</v>
      </c>
      <c r="L1" s="7">
        <v>38261</v>
      </c>
      <c r="M1" s="7">
        <v>38292</v>
      </c>
      <c r="N1" s="12">
        <v>38322</v>
      </c>
      <c r="O1" s="7">
        <v>38353</v>
      </c>
      <c r="P1" s="7">
        <v>38384</v>
      </c>
      <c r="Q1" s="7">
        <v>38412</v>
      </c>
      <c r="R1" s="7">
        <v>38443</v>
      </c>
      <c r="S1" s="7">
        <v>38473</v>
      </c>
      <c r="T1" s="7">
        <v>38504</v>
      </c>
      <c r="U1" s="7">
        <v>38534</v>
      </c>
      <c r="V1" s="7">
        <v>38565</v>
      </c>
      <c r="W1" s="7">
        <v>38596</v>
      </c>
      <c r="X1" s="7">
        <v>38626</v>
      </c>
      <c r="Y1" s="7">
        <v>38657</v>
      </c>
      <c r="Z1" s="12">
        <v>38687</v>
      </c>
      <c r="AA1" s="7">
        <v>38718</v>
      </c>
      <c r="AB1" s="7">
        <v>38749</v>
      </c>
      <c r="AC1" s="7">
        <v>38777</v>
      </c>
      <c r="AD1" s="7">
        <v>38808</v>
      </c>
      <c r="AE1" s="7">
        <v>38838</v>
      </c>
      <c r="AF1" s="7">
        <v>38869</v>
      </c>
      <c r="AG1" s="7">
        <v>38899</v>
      </c>
      <c r="AH1" s="7">
        <v>38930</v>
      </c>
      <c r="AI1" s="7">
        <v>38961</v>
      </c>
      <c r="AJ1" s="7">
        <v>38991</v>
      </c>
      <c r="AK1" s="7">
        <v>39022</v>
      </c>
      <c r="AL1" s="12">
        <v>39052</v>
      </c>
      <c r="AM1" s="7">
        <v>39083</v>
      </c>
      <c r="AN1" s="7">
        <v>39114</v>
      </c>
      <c r="AO1" s="7">
        <v>39142</v>
      </c>
      <c r="AP1" s="7">
        <v>39173</v>
      </c>
      <c r="AQ1" s="7">
        <v>39203</v>
      </c>
      <c r="AR1" s="7">
        <v>39234</v>
      </c>
      <c r="AS1" s="7">
        <v>39264</v>
      </c>
      <c r="AT1" s="7">
        <v>39295</v>
      </c>
      <c r="AU1" s="7">
        <v>39326</v>
      </c>
      <c r="AV1" s="7">
        <v>39356</v>
      </c>
      <c r="AW1" s="7">
        <v>39387</v>
      </c>
      <c r="AX1" s="12">
        <v>39417</v>
      </c>
      <c r="AY1" s="7">
        <v>39448</v>
      </c>
      <c r="AZ1" s="7">
        <v>39479</v>
      </c>
      <c r="BA1" s="7">
        <v>39508</v>
      </c>
      <c r="BB1" s="7">
        <v>39539</v>
      </c>
      <c r="BC1" s="7">
        <v>39569</v>
      </c>
      <c r="BD1" s="7">
        <v>39600</v>
      </c>
      <c r="BE1" s="7">
        <v>39630</v>
      </c>
      <c r="BF1" s="7">
        <v>39661</v>
      </c>
      <c r="BG1" s="7">
        <v>39692</v>
      </c>
      <c r="BH1" s="7">
        <v>39722</v>
      </c>
      <c r="BI1" s="7">
        <v>39753</v>
      </c>
      <c r="BJ1" s="12">
        <v>39783</v>
      </c>
      <c r="BK1" s="7">
        <v>39814</v>
      </c>
      <c r="BL1" s="7">
        <v>39845</v>
      </c>
      <c r="BM1" s="7">
        <v>39873</v>
      </c>
      <c r="BN1" s="7">
        <v>39904</v>
      </c>
      <c r="BO1" s="7">
        <v>39934</v>
      </c>
      <c r="BP1" s="7">
        <v>39965</v>
      </c>
      <c r="BQ1" s="7">
        <v>39995</v>
      </c>
      <c r="BR1" s="7">
        <v>40026</v>
      </c>
      <c r="BS1" s="7">
        <v>40057</v>
      </c>
      <c r="BT1" s="7">
        <v>40087</v>
      </c>
      <c r="BU1" s="7">
        <v>40118</v>
      </c>
      <c r="BV1" s="12">
        <v>40148</v>
      </c>
      <c r="BW1" s="7">
        <v>40179</v>
      </c>
      <c r="BX1" s="7">
        <v>40210</v>
      </c>
      <c r="BY1" s="7">
        <v>40238</v>
      </c>
      <c r="BZ1" s="7">
        <v>40269</v>
      </c>
      <c r="CA1" s="7">
        <v>40299</v>
      </c>
      <c r="CB1" s="7">
        <v>40330</v>
      </c>
      <c r="CC1" s="7">
        <v>40360</v>
      </c>
      <c r="CD1" s="7">
        <v>40391</v>
      </c>
      <c r="CE1" s="7">
        <v>40422</v>
      </c>
      <c r="CF1" s="7">
        <v>40452</v>
      </c>
      <c r="CG1" s="7">
        <v>40483</v>
      </c>
      <c r="CH1" s="12">
        <v>40513</v>
      </c>
      <c r="CI1" s="7">
        <v>40544</v>
      </c>
      <c r="CJ1" s="7">
        <v>40575</v>
      </c>
      <c r="CK1" s="7">
        <v>40603</v>
      </c>
      <c r="CL1" s="7">
        <v>40634</v>
      </c>
      <c r="CM1" s="7">
        <v>40664</v>
      </c>
      <c r="CN1" s="7">
        <v>40695</v>
      </c>
      <c r="CO1" s="7">
        <v>40725</v>
      </c>
      <c r="CP1" s="7">
        <v>40756</v>
      </c>
      <c r="CQ1" s="7">
        <v>40787</v>
      </c>
      <c r="CR1" s="7">
        <v>40817</v>
      </c>
      <c r="CS1" s="7">
        <v>40848</v>
      </c>
      <c r="CT1" s="12">
        <v>40878</v>
      </c>
      <c r="CU1" s="7">
        <v>40909</v>
      </c>
      <c r="CV1" s="7">
        <v>40940</v>
      </c>
      <c r="CW1" s="7">
        <v>40969</v>
      </c>
      <c r="CX1" s="7">
        <v>41000</v>
      </c>
      <c r="CY1" s="7">
        <v>41030</v>
      </c>
      <c r="CZ1" s="7">
        <v>41061</v>
      </c>
      <c r="DA1" s="7">
        <v>41091</v>
      </c>
      <c r="DB1" s="7">
        <v>41122</v>
      </c>
      <c r="DC1" s="7">
        <v>41153</v>
      </c>
      <c r="DD1" s="7">
        <v>41183</v>
      </c>
      <c r="DE1" s="7">
        <v>41214</v>
      </c>
      <c r="DF1" s="12">
        <v>41244</v>
      </c>
      <c r="DG1" s="7">
        <v>41275</v>
      </c>
      <c r="DH1" s="7">
        <v>41306</v>
      </c>
      <c r="DI1" s="7">
        <v>41334</v>
      </c>
      <c r="DJ1" s="7">
        <v>41365</v>
      </c>
      <c r="DK1" s="7">
        <v>41395</v>
      </c>
      <c r="DL1" s="7">
        <v>41426</v>
      </c>
      <c r="DM1" s="7">
        <v>41456</v>
      </c>
      <c r="DN1" s="7">
        <v>41487</v>
      </c>
      <c r="DO1" s="7">
        <v>41518</v>
      </c>
      <c r="DP1" s="7">
        <v>41548</v>
      </c>
      <c r="DQ1" s="7">
        <v>41579</v>
      </c>
      <c r="DR1" s="12">
        <v>41609</v>
      </c>
      <c r="DS1" s="7">
        <v>41640</v>
      </c>
      <c r="DT1" s="7">
        <v>41671</v>
      </c>
      <c r="DU1" s="7">
        <v>41699</v>
      </c>
      <c r="DV1" s="7">
        <v>41730</v>
      </c>
      <c r="DW1" s="7">
        <v>41760</v>
      </c>
      <c r="DX1" s="7">
        <v>41791</v>
      </c>
      <c r="DY1" s="7">
        <v>41821</v>
      </c>
      <c r="DZ1" s="7">
        <v>41852</v>
      </c>
      <c r="EA1" s="7">
        <v>41883</v>
      </c>
      <c r="EB1" s="7">
        <v>41913</v>
      </c>
      <c r="EC1" s="7">
        <v>41944</v>
      </c>
      <c r="ED1" s="7">
        <v>41974</v>
      </c>
      <c r="EE1" s="23">
        <v>42005</v>
      </c>
      <c r="EF1" s="7">
        <v>42036</v>
      </c>
      <c r="EG1" s="7">
        <v>42064</v>
      </c>
      <c r="EH1" s="7">
        <v>42095</v>
      </c>
      <c r="EI1" s="7">
        <v>42125</v>
      </c>
      <c r="EJ1" s="7">
        <v>42156</v>
      </c>
      <c r="EK1" s="7">
        <v>42186</v>
      </c>
      <c r="EL1" s="7">
        <v>42217</v>
      </c>
      <c r="EM1" s="7">
        <v>42248</v>
      </c>
      <c r="EN1" s="7">
        <v>42278</v>
      </c>
      <c r="EO1" s="7">
        <v>42309</v>
      </c>
      <c r="EP1" s="7">
        <v>42339</v>
      </c>
      <c r="EQ1" s="23">
        <v>42370</v>
      </c>
      <c r="ER1" s="7">
        <v>42401</v>
      </c>
      <c r="ES1" s="7">
        <v>42430</v>
      </c>
      <c r="ET1" s="7">
        <v>42461</v>
      </c>
      <c r="EU1" s="7">
        <v>42491</v>
      </c>
      <c r="EV1" s="7">
        <v>42522</v>
      </c>
      <c r="EW1" s="7">
        <v>42552</v>
      </c>
      <c r="EX1" s="7">
        <v>42583</v>
      </c>
      <c r="EY1" s="7">
        <v>42614</v>
      </c>
      <c r="EZ1" s="7">
        <v>42644</v>
      </c>
      <c r="FA1" s="7">
        <v>42675</v>
      </c>
      <c r="FB1" s="12">
        <v>42705</v>
      </c>
      <c r="FC1" s="7">
        <v>42736</v>
      </c>
      <c r="FD1" s="7">
        <v>42767</v>
      </c>
      <c r="FE1" s="7">
        <v>42795</v>
      </c>
      <c r="FF1" s="7">
        <v>42826</v>
      </c>
      <c r="FG1" s="7">
        <v>42856</v>
      </c>
      <c r="FH1" s="7">
        <v>42887</v>
      </c>
      <c r="FI1" s="7">
        <v>42917</v>
      </c>
      <c r="FJ1" s="7">
        <v>42948</v>
      </c>
      <c r="FK1" s="7">
        <v>42979</v>
      </c>
      <c r="FL1" s="7">
        <v>43009</v>
      </c>
      <c r="FM1" s="7">
        <v>43040</v>
      </c>
      <c r="FN1" s="7">
        <v>43070</v>
      </c>
      <c r="FO1" s="23">
        <v>43101</v>
      </c>
      <c r="FP1" s="7">
        <v>43132</v>
      </c>
      <c r="FQ1" s="7">
        <v>43160</v>
      </c>
      <c r="FR1" s="7">
        <v>43191</v>
      </c>
      <c r="FS1" s="7">
        <v>43221</v>
      </c>
      <c r="FT1" s="7">
        <v>43252</v>
      </c>
      <c r="FU1" s="7">
        <v>43282</v>
      </c>
      <c r="FV1" s="7">
        <v>43313</v>
      </c>
      <c r="FW1" s="7">
        <v>43344</v>
      </c>
      <c r="FX1" s="7">
        <v>43374</v>
      </c>
      <c r="FY1" s="7">
        <v>43405</v>
      </c>
      <c r="FZ1" s="7">
        <v>43435</v>
      </c>
      <c r="GA1" s="23">
        <v>43466</v>
      </c>
      <c r="GB1" s="7">
        <v>43497</v>
      </c>
      <c r="GC1" s="7">
        <v>43525</v>
      </c>
      <c r="GD1" s="7">
        <v>43556</v>
      </c>
      <c r="GE1" s="7">
        <v>43586</v>
      </c>
      <c r="GF1" s="7">
        <v>43617</v>
      </c>
      <c r="GG1" s="7">
        <v>43647</v>
      </c>
      <c r="GH1" s="7">
        <v>43678</v>
      </c>
      <c r="GI1" s="7">
        <v>43709</v>
      </c>
      <c r="GJ1" s="7">
        <v>43739</v>
      </c>
      <c r="GK1" s="7">
        <v>43770</v>
      </c>
      <c r="GL1" s="7">
        <v>43800</v>
      </c>
      <c r="GM1" s="23">
        <v>43831</v>
      </c>
      <c r="GN1" s="7">
        <v>43862</v>
      </c>
      <c r="GO1" s="23">
        <v>43891</v>
      </c>
      <c r="GP1" s="23">
        <v>43922</v>
      </c>
      <c r="GQ1" s="23">
        <v>43952</v>
      </c>
      <c r="GR1" s="23">
        <v>43983</v>
      </c>
      <c r="GS1" s="23">
        <v>44013</v>
      </c>
      <c r="GT1" s="23">
        <v>44044</v>
      </c>
      <c r="GU1" s="23">
        <v>44075</v>
      </c>
      <c r="GV1" s="23">
        <v>44105</v>
      </c>
      <c r="GW1" s="23">
        <v>44136</v>
      </c>
      <c r="GX1" s="56">
        <v>44166</v>
      </c>
      <c r="GY1" s="7">
        <v>44197</v>
      </c>
      <c r="GZ1" s="7">
        <v>44228</v>
      </c>
      <c r="HA1" s="7">
        <v>44256</v>
      </c>
      <c r="HB1" s="7">
        <v>44287</v>
      </c>
      <c r="HC1" s="7">
        <v>44317</v>
      </c>
      <c r="HD1" s="7">
        <v>44348</v>
      </c>
      <c r="HE1" s="7">
        <v>44378</v>
      </c>
      <c r="HF1" s="7">
        <v>44409</v>
      </c>
      <c r="HG1" s="7">
        <v>44440</v>
      </c>
      <c r="HH1" s="7">
        <v>44470</v>
      </c>
      <c r="HI1" s="7">
        <v>44501</v>
      </c>
      <c r="HJ1" s="7">
        <v>44531</v>
      </c>
      <c r="HK1" s="7">
        <v>44562</v>
      </c>
      <c r="HL1" s="7">
        <v>44593</v>
      </c>
      <c r="HM1" s="7">
        <v>44621</v>
      </c>
      <c r="HN1" s="7">
        <v>44652</v>
      </c>
      <c r="HO1" s="7">
        <v>44682</v>
      </c>
      <c r="HP1" s="7">
        <v>44713</v>
      </c>
      <c r="HQ1" s="7">
        <v>44743</v>
      </c>
      <c r="HR1" s="7">
        <v>44774</v>
      </c>
      <c r="HS1" s="7">
        <v>44805</v>
      </c>
      <c r="HT1" s="7">
        <v>44835</v>
      </c>
      <c r="HU1" s="7">
        <v>44866</v>
      </c>
      <c r="HV1" s="12">
        <v>44896</v>
      </c>
      <c r="HW1" s="7">
        <v>44927</v>
      </c>
      <c r="HX1" s="7">
        <v>44958</v>
      </c>
      <c r="HY1" s="7">
        <v>44986</v>
      </c>
      <c r="HZ1" s="7">
        <v>45017</v>
      </c>
      <c r="IA1" s="7">
        <v>45047</v>
      </c>
      <c r="IB1" s="7">
        <v>45078</v>
      </c>
      <c r="IC1" s="7">
        <v>45108</v>
      </c>
      <c r="ID1" s="7">
        <v>45139</v>
      </c>
      <c r="IE1" s="7">
        <v>45170</v>
      </c>
      <c r="IF1" s="7">
        <v>45200</v>
      </c>
      <c r="IG1" s="7">
        <v>45231</v>
      </c>
      <c r="IH1" s="7">
        <v>45261</v>
      </c>
      <c r="II1" s="23">
        <v>45292</v>
      </c>
      <c r="IJ1" s="23">
        <v>45323</v>
      </c>
      <c r="IK1" s="23">
        <v>45352</v>
      </c>
      <c r="IL1" s="23">
        <v>45383</v>
      </c>
      <c r="IM1" s="23">
        <v>45413</v>
      </c>
      <c r="IN1" s="23">
        <v>45444</v>
      </c>
      <c r="IO1" s="23">
        <v>45474</v>
      </c>
      <c r="IP1" s="23">
        <v>45505</v>
      </c>
      <c r="IQ1" s="23">
        <v>45536</v>
      </c>
      <c r="IR1" s="23">
        <v>45566</v>
      </c>
      <c r="IS1" s="23">
        <v>45597</v>
      </c>
      <c r="IT1" s="23">
        <v>45627</v>
      </c>
      <c r="IU1" s="7">
        <v>45658</v>
      </c>
      <c r="IV1" s="23">
        <v>45689</v>
      </c>
      <c r="IW1" s="23">
        <v>45717</v>
      </c>
      <c r="IX1" s="23">
        <v>45748</v>
      </c>
      <c r="IY1" s="23">
        <v>45778</v>
      </c>
      <c r="IZ1" s="23">
        <v>45809</v>
      </c>
      <c r="JA1" s="23">
        <v>45839</v>
      </c>
      <c r="JB1" s="23">
        <v>45870</v>
      </c>
      <c r="JC1" s="23">
        <v>45901</v>
      </c>
      <c r="JD1" s="23">
        <v>45931</v>
      </c>
      <c r="JE1" s="23">
        <v>45962</v>
      </c>
      <c r="JF1" s="23">
        <v>45992</v>
      </c>
      <c r="JG1" s="23">
        <v>46023</v>
      </c>
      <c r="JH1" s="23">
        <v>46054</v>
      </c>
      <c r="JI1" s="23">
        <v>46082</v>
      </c>
    </row>
    <row r="2" spans="1:269" s="1" customFormat="1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3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3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3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7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7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7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7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7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7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24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24"/>
      <c r="ER2" s="9"/>
      <c r="ES2" s="9"/>
      <c r="ET2" s="9"/>
      <c r="EU2" s="9"/>
      <c r="EV2" s="9"/>
      <c r="EW2" s="9"/>
      <c r="EX2" s="9"/>
      <c r="EY2" s="9"/>
      <c r="EZ2" s="9"/>
      <c r="FA2" s="9"/>
      <c r="FB2" s="13"/>
      <c r="FC2" s="9"/>
      <c r="FO2" s="48"/>
      <c r="GA2" s="48"/>
      <c r="GM2" s="48"/>
      <c r="GX2" s="6"/>
      <c r="HK2" s="48"/>
      <c r="HV2" s="6"/>
      <c r="II2" s="48"/>
      <c r="IU2" s="48"/>
      <c r="JG2" s="48"/>
    </row>
    <row r="3" spans="1:269" s="1" customFormat="1" x14ac:dyDescent="0.2">
      <c r="A3" s="1" t="s">
        <v>28</v>
      </c>
      <c r="B3" s="1">
        <v>1</v>
      </c>
      <c r="C3" s="21">
        <f>100*Monatswerte!C3/Erwerbspersonen!$B4</f>
        <v>5.7753438691112882</v>
      </c>
      <c r="D3" s="21">
        <f>100*Monatswerte!D3/Erwerbspersonen!$B4</f>
        <v>5.7813700528797627</v>
      </c>
      <c r="E3" s="21">
        <f>100*Monatswerte!E3/Erwerbspersonen!$B4</f>
        <v>5.662352923452401</v>
      </c>
      <c r="F3" s="21">
        <f>100*Monatswerte!F3/Erwerbspersonen!$B4</f>
        <v>5.5508685237356312</v>
      </c>
      <c r="G3" s="21">
        <f>100*Monatswerte!G3/Erwerbspersonen!$B4</f>
        <v>5.3783690133630628</v>
      </c>
      <c r="H3" s="21">
        <f>100*Monatswerte!H3/Erwerbspersonen!$B4</f>
        <v>5.2804435271253594</v>
      </c>
      <c r="I3" s="21">
        <f>100*Monatswerte!I3/Erwerbspersonen!$B4</f>
        <v>5.2947557135754852</v>
      </c>
      <c r="J3" s="21">
        <f>100*Monatswerte!J3/Erwerbspersonen!$B4</f>
        <v>5.4333579402503878</v>
      </c>
      <c r="K3" s="21">
        <f>100*Monatswerte!K3/Erwerbspersonen!$B4</f>
        <v>5.3580306431444624</v>
      </c>
      <c r="L3" s="21">
        <f>100*Monatswerte!L3/Erwerbspersonen!$B4</f>
        <v>5.2058695029904936</v>
      </c>
      <c r="M3" s="21">
        <f>100*Monatswerte!M3/Erwerbspersonen!$B4</f>
        <v>5.3489913674917515</v>
      </c>
      <c r="N3" s="27">
        <f>100*Monatswerte!N3/Erwerbspersonen!$B4</f>
        <v>5.4860870482245359</v>
      </c>
      <c r="O3" s="21">
        <f>100*Monatswerte!O3/Erwerbspersonen!$B4</f>
        <v>5.5116983292405504</v>
      </c>
      <c r="P3" s="21">
        <f>100*Monatswerte!P3/Erwerbspersonen!$B4</f>
        <v>5.5727134398963498</v>
      </c>
      <c r="Q3" s="21">
        <f>100*Monatswerte!Q3/Erwerbspersonen!$B4</f>
        <v>5.4499299456136914</v>
      </c>
      <c r="R3" s="21">
        <f>100*Monatswerte!R3/Erwerbspersonen!$B4</f>
        <v>5.3203669945914998</v>
      </c>
      <c r="S3" s="21">
        <f>100*Monatswerte!S3/Erwerbspersonen!$B4</f>
        <v>5.3045482621992557</v>
      </c>
      <c r="T3" s="21">
        <f>100*Monatswerte!T3/Erwerbspersonen!$B4</f>
        <v>5.240520059659219</v>
      </c>
      <c r="U3" s="21">
        <f>100*Monatswerte!U3/Erwerbspersonen!$B4</f>
        <v>5.2360004218328635</v>
      </c>
      <c r="V3" s="21">
        <f>100*Monatswerte!V3/Erwerbspersonen!$B4</f>
        <v>5.2714042514726485</v>
      </c>
      <c r="W3" s="21">
        <f>100*Monatswerte!W3/Erwerbspersonen!$B4</f>
        <v>5.2344938758907453</v>
      </c>
      <c r="X3" s="21">
        <f>100*Monatswerte!X3/Erwerbspersonen!$B4</f>
        <v>5.2382602407460412</v>
      </c>
      <c r="Y3" s="21">
        <f>100*Monatswerte!Y3/Erwerbspersonen!$B4</f>
        <v>5.2819500730674784</v>
      </c>
      <c r="Z3" s="27">
        <f>100*Monatswerte!Z3/Erwerbspersonen!$B4</f>
        <v>5.3030417162571375</v>
      </c>
      <c r="AA3" s="21">
        <f>100*Monatswerte!AA3/Erwerbspersonen!$B4</f>
        <v>5.3294062702442115</v>
      </c>
      <c r="AB3" s="21">
        <f>100*Monatswerte!AB3/Erwerbspersonen!$B4</f>
        <v>5.2375069677749826</v>
      </c>
      <c r="AC3" s="21">
        <f>100*Monatswerte!AC3/Erwerbspersonen!$B4</f>
        <v>5.184024586829775</v>
      </c>
      <c r="AD3" s="21">
        <f>100*Monatswerte!AD3/Erwerbspersonen!$B4</f>
        <v>5.0145381683414438</v>
      </c>
      <c r="AE3" s="21">
        <f>100*Monatswerte!AE3/Erwerbspersonen!$B4</f>
        <v>4.8179339228949782</v>
      </c>
      <c r="AF3" s="21">
        <f>100*Monatswerte!AF3/Erwerbspersonen!$B4</f>
        <v>4.7026831583229134</v>
      </c>
      <c r="AG3" s="21">
        <f>100*Monatswerte!AG3/Erwerbspersonen!$B4</f>
        <v>4.6635129638278316</v>
      </c>
      <c r="AH3" s="21">
        <f>100*Monatswerte!AH3/Erwerbspersonen!$B4</f>
        <v>4.6235894963616913</v>
      </c>
      <c r="AI3" s="21">
        <f>100*Monatswerte!AI3/Erwerbspersonen!$B4</f>
        <v>4.5505220181689436</v>
      </c>
      <c r="AJ3" s="21">
        <f>100*Monatswerte!AJ3/Erwerbspersonen!$B4</f>
        <v>4.4450638022206483</v>
      </c>
      <c r="AK3" s="21">
        <f>100*Monatswerte!AK3/Erwerbspersonen!$B4</f>
        <v>4.4021272428702716</v>
      </c>
      <c r="AL3" s="27">
        <f>100*Monatswerte!AL3/Erwerbspersonen!$B4</f>
        <v>4.4721816291787819</v>
      </c>
      <c r="AM3" s="21">
        <f>100*Monatswerte!AM3/Erwerbspersonen!$B4</f>
        <v>4.4744414480919596</v>
      </c>
      <c r="AN3" s="21">
        <f>100*Monatswerte!AN3/Erwerbspersonen!$B4</f>
        <v>4.4488301670759451</v>
      </c>
      <c r="AO3" s="21">
        <f>100*Monatswerte!AO3/Erwerbspersonen!$B4</f>
        <v>4.3320728565617612</v>
      </c>
      <c r="AP3" s="21">
        <f>100*Monatswerte!AP3/Erwerbspersonen!$B4</f>
        <v>4.1919640839447396</v>
      </c>
      <c r="AQ3" s="21">
        <f>100*Monatswerte!AQ3/Erwerbspersonen!$B4</f>
        <v>4.1053376922729257</v>
      </c>
      <c r="AR3" s="21">
        <f>100*Monatswerte!AR3/Erwerbspersonen!$B4</f>
        <v>4.0074122060352231</v>
      </c>
      <c r="AS3" s="21">
        <f>100*Monatswerte!AS3/Erwerbspersonen!$B4</f>
        <v>4.011178570890519</v>
      </c>
      <c r="AT3" s="21">
        <f>100*Monatswerte!AT3/Erwerbspersonen!$B4</f>
        <v>3.9991262033535713</v>
      </c>
      <c r="AU3" s="21">
        <f>100*Monatswerte!AU3/Erwerbspersonen!$B4</f>
        <v>3.8703165253024392</v>
      </c>
      <c r="AV3" s="21">
        <f>100*Monatswerte!AV3/Erwerbspersonen!$B4</f>
        <v>3.8100546876176988</v>
      </c>
      <c r="AW3" s="21">
        <f>100*Monatswerte!AW3/Erwerbspersonen!$B4</f>
        <v>3.8650436145050242</v>
      </c>
      <c r="AX3" s="27">
        <f>100*Monatswerte!AX3/Erwerbspersonen!$B4</f>
        <v>3.9644756466848459</v>
      </c>
      <c r="AY3" s="21">
        <f>100*Monatswerte!AY3/Erwerbspersonen!$C4</f>
        <v>3.7127833687362886</v>
      </c>
      <c r="AZ3" s="21">
        <f>100*Monatswerte!AZ3/Erwerbspersonen!$C4</f>
        <v>3.5644391823658461</v>
      </c>
      <c r="BA3" s="21">
        <f>100*Monatswerte!BA3/Erwerbspersonen!$C4</f>
        <v>3.5003656370790819</v>
      </c>
      <c r="BB3" s="21">
        <f>100*Monatswerte!BB3/Erwerbspersonen!$C4</f>
        <v>3.4745969286485359</v>
      </c>
      <c r="BC3" s="21">
        <f>100*Monatswerte!BC3/Erwerbspersonen!$C4</f>
        <v>3.2928230664763034</v>
      </c>
      <c r="BD3" s="21">
        <f>100*Monatswerte!BD3/Erwerbspersonen!$C4</f>
        <v>3.1716404916948151</v>
      </c>
      <c r="BE3" s="21">
        <f>100*Monatswerte!BE3/Erwerbspersonen!$C4</f>
        <v>3.1799979106452625</v>
      </c>
      <c r="BF3" s="21">
        <f>100*Monatswerte!BF3/Erwerbspersonen!$C4</f>
        <v>3.1639795243235715</v>
      </c>
      <c r="BG3" s="21">
        <f>100*Monatswerte!BG3/Erwerbspersonen!$C4</f>
        <v>3.215516941184664</v>
      </c>
      <c r="BH3" s="21">
        <f>100*Monatswerte!BH3/Erwerbspersonen!$C4</f>
        <v>3.2593933906745134</v>
      </c>
      <c r="BI3" s="21">
        <f>100*Monatswerte!BI3/Erwerbspersonen!$C4</f>
        <v>3.4153985444161994</v>
      </c>
      <c r="BJ3" s="27">
        <f>100*Monatswerte!BJ3/Erwerbspersonen!$C4</f>
        <v>3.7294982066371833</v>
      </c>
      <c r="BK3" s="21">
        <f>100*Monatswerte!BK3/Erwerbspersonen!$C4</f>
        <v>4.0129539993731935</v>
      </c>
      <c r="BL3" s="21">
        <f>100*Monatswerte!BL3/Erwerbspersonen!$C4</f>
        <v>4.1961207647038341</v>
      </c>
      <c r="BM3" s="21">
        <f>100*Monatswerte!BM3/Erwerbspersonen!$C4</f>
        <v>4.4238604311035274</v>
      </c>
      <c r="BN3" s="21">
        <f>100*Monatswerte!BN3/Erwerbspersonen!$C4</f>
        <v>4.5603649406275029</v>
      </c>
      <c r="BO3" s="21">
        <f>100*Monatswerte!BO3/Erwerbspersonen!$C4</f>
        <v>4.6529930006616294</v>
      </c>
      <c r="BP3" s="21">
        <f>100*Monatswerte!BP3/Erwerbspersonen!$C4</f>
        <v>4.9552529860361458</v>
      </c>
      <c r="BQ3" s="21">
        <f>100*Monatswerte!BQ3/Erwerbspersonen!$C4</f>
        <v>5.1105616881986276</v>
      </c>
      <c r="BR3" s="21">
        <f>100*Monatswerte!BR3/Erwerbspersonen!$C4</f>
        <v>5.199707490336734</v>
      </c>
      <c r="BS3" s="21">
        <f>100*Monatswerte!BS3/Erwerbspersonen!$C4</f>
        <v>5.2839781314204126</v>
      </c>
      <c r="BT3" s="21">
        <f>100*Monatswerte!BT3/Erwerbspersonen!$C4</f>
        <v>5.3424800640735457</v>
      </c>
      <c r="BU3" s="21">
        <f>100*Monatswerte!BU3/Erwerbspersonen!$C4</f>
        <v>5.4657519935926455</v>
      </c>
      <c r="BV3" s="27">
        <f>100*Monatswerte!BV3/Erwerbspersonen!$C4</f>
        <v>5.7129923042100499</v>
      </c>
      <c r="BW3" s="21">
        <f>100*Monatswerte!BW3/Erwerbspersonen!$C4</f>
        <v>5.7011526273635829</v>
      </c>
      <c r="BX3" s="21">
        <f>100*Monatswerte!BX3/Erwerbspersonen!$C4</f>
        <v>5.6517045652401015</v>
      </c>
      <c r="BY3" s="21">
        <f>100*Monatswerte!BY3/Erwerbspersonen!$C4</f>
        <v>5.6092210189086602</v>
      </c>
      <c r="BZ3" s="21">
        <f>100*Monatswerte!BZ3/Erwerbspersonen!$C4</f>
        <v>5.3703381272417037</v>
      </c>
      <c r="CA3" s="21">
        <f>100*Monatswerte!CA3/Erwerbspersonen!$C4</f>
        <v>5.1934394261238985</v>
      </c>
      <c r="CB3" s="21">
        <f>100*Monatswerte!CB3/Erwerbspersonen!$C4</f>
        <v>5.029773305010969</v>
      </c>
      <c r="CC3" s="21">
        <f>100*Monatswerte!CC3/Erwerbspersonen!$C4</f>
        <v>4.9677891144618167</v>
      </c>
      <c r="CD3" s="21">
        <f>100*Monatswerte!CD3/Erwerbspersonen!$C4</f>
        <v>4.9106800849670931</v>
      </c>
      <c r="CE3" s="21">
        <f>100*Monatswerte!CE3/Erwerbspersonen!$C4</f>
        <v>4.741442351220531</v>
      </c>
      <c r="CF3" s="21">
        <f>100*Monatswerte!CF3/Erwerbspersonen!$C4</f>
        <v>4.6717971933001357</v>
      </c>
      <c r="CG3" s="21">
        <f>100*Monatswerte!CG3/Erwerbspersonen!$C4</f>
        <v>4.5930981648500886</v>
      </c>
      <c r="CH3" s="27">
        <f>100*Monatswerte!CH3/Erwerbspersonen!$C4</f>
        <v>4.6613504196120763</v>
      </c>
      <c r="CI3" s="21">
        <f>100*Monatswerte!CI3/Erwerbspersonen!$C4</f>
        <v>4.587526552216457</v>
      </c>
      <c r="CJ3" s="21">
        <f>100*Monatswerte!CJ3/Erwerbspersonen!$C4</f>
        <v>4.4217710763659159</v>
      </c>
      <c r="CK3" s="21">
        <f>100*Monatswerte!CK3/Erwerbspersonen!$C4</f>
        <v>4.2734268899954735</v>
      </c>
      <c r="CL3" s="21">
        <f>100*Monatswerte!CL3/Erwerbspersonen!$C4</f>
        <v>3.9077898109133962</v>
      </c>
      <c r="CM3" s="21">
        <f>100*Monatswerte!CM3/Erwerbspersonen!$C4</f>
        <v>3.6570672423999722</v>
      </c>
      <c r="CN3" s="21">
        <f>100*Monatswerte!CN3/Erwerbspersonen!$C4</f>
        <v>3.5950830518508199</v>
      </c>
      <c r="CO3" s="21">
        <f>100*Monatswerte!CO3/Erwerbspersonen!$C4</f>
        <v>3.4592749939060488</v>
      </c>
      <c r="CP3" s="21">
        <f>100*Monatswerte!CP3/Erwerbspersonen!$C4</f>
        <v>3.5386704739352997</v>
      </c>
      <c r="CQ3" s="21">
        <f>100*Monatswerte!CQ3/Erwerbspersonen!$C4</f>
        <v>3.5282237002472403</v>
      </c>
      <c r="CR3" s="21">
        <f>100*Monatswerte!CR3/Erwerbspersonen!$C4</f>
        <v>3.5588675697322145</v>
      </c>
      <c r="CS3" s="21">
        <f>100*Monatswerte!CS3/Erwerbspersonen!$C4</f>
        <v>3.7559633666469341</v>
      </c>
      <c r="CT3" s="27">
        <f>100*Monatswerte!CT3/Erwerbspersonen!$C4</f>
        <v>3.9265940035519029</v>
      </c>
      <c r="CU3" s="21">
        <f>100*Monatswerte!CU3/Erwerbspersonen!$C4</f>
        <v>3.97534561409618</v>
      </c>
      <c r="CV3" s="21">
        <f>100*Monatswerte!CV3/Erwerbspersonen!$C4</f>
        <v>3.9802207751506078</v>
      </c>
      <c r="CW3" s="21">
        <f>100*Monatswerte!CW3/Erwerbspersonen!$C4</f>
        <v>3.8416269108890204</v>
      </c>
      <c r="CX3" s="21">
        <f>100*Monatswerte!CX3/Erwerbspersonen!$C4</f>
        <v>3.7921788487655395</v>
      </c>
      <c r="CY3" s="21">
        <f>100*Monatswerte!CY3/Erwerbspersonen!$C4</f>
        <v>3.7218372392659402</v>
      </c>
      <c r="CZ3" s="21">
        <f>100*Monatswerte!CZ3/Erwerbspersonen!$C4</f>
        <v>3.6904969182017622</v>
      </c>
      <c r="DA3" s="21">
        <f>100*Monatswerte!DA3/Erwerbspersonen!$C4</f>
        <v>3.7274088518995718</v>
      </c>
      <c r="DB3" s="21">
        <f>100*Monatswerte!DB3/Erwerbspersonen!$C4</f>
        <v>3.8116794929832505</v>
      </c>
      <c r="DC3" s="21">
        <f>100*Monatswerte!DC3/Erwerbspersonen!$C4</f>
        <v>3.8151617508792701</v>
      </c>
      <c r="DD3" s="21">
        <f>100*Monatswerte!DD3/Erwerbspersonen!$C4</f>
        <v>3.9391301319775742</v>
      </c>
      <c r="DE3" s="21">
        <f>100*Monatswerte!DE3/Erwerbspersonen!$C4</f>
        <v>4.1773165720653269</v>
      </c>
      <c r="DF3" s="27">
        <f>100*Monatswerte!DF3/Erwerbspersonen!$C4</f>
        <v>4.3946094647769618</v>
      </c>
      <c r="DG3" s="21">
        <f>100*Monatswerte!DG3/Erwerbspersonen!$C4</f>
        <v>4.5408642964097918</v>
      </c>
      <c r="DH3" s="21">
        <f>100*Monatswerte!DH3/Erwerbspersonen!$C4</f>
        <v>4.5157920395584501</v>
      </c>
      <c r="DI3" s="21">
        <f>100*Monatswerte!DI3/Erwerbspersonen!$C4</f>
        <v>4.3841626910889024</v>
      </c>
      <c r="DJ3" s="21">
        <f>100*Monatswerte!DJ3/Erwerbspersonen!$C4</f>
        <v>4.2845701152627367</v>
      </c>
      <c r="DK3" s="21">
        <f>100*Monatswerte!DK3/Erwerbspersonen!$C4</f>
        <v>4.1640839920604522</v>
      </c>
      <c r="DL3" s="21">
        <f>100*Monatswerte!DL3/Erwerbspersonen!$C4</f>
        <v>4.0874743183480167</v>
      </c>
      <c r="DM3" s="21">
        <f>100*Monatswerte!DM3/Erwerbspersonen!$C4</f>
        <v>4.1111536720409516</v>
      </c>
      <c r="DN3" s="21">
        <f>100*Monatswerte!DN3/Erwerbspersonen!$C4</f>
        <v>4.0575269004422472</v>
      </c>
      <c r="DO3" s="21">
        <f>100*Monatswerte!DO3/Erwerbspersonen!$C4</f>
        <v>3.9941498067346868</v>
      </c>
      <c r="DP3" s="21">
        <f>100*Monatswerte!DP3/Erwerbspersonen!$C4</f>
        <v>4.1069749625657277</v>
      </c>
      <c r="DQ3" s="21">
        <f>100*Monatswerte!DQ3/Erwerbspersonen!$C4</f>
        <v>4.2232823762927882</v>
      </c>
      <c r="DR3" s="27">
        <f>100*Monatswerte!DR3/Erwerbspersonen!$C4</f>
        <v>4.3145175331685062</v>
      </c>
      <c r="DS3" s="21">
        <f>100*Monatswerte!DS3/Erwerbspersonen!$D4</f>
        <v>4.2156748573424947</v>
      </c>
      <c r="DT3" s="21">
        <f>100*Monatswerte!DT3/Erwerbspersonen!$D4</f>
        <v>4.1512820337171785</v>
      </c>
      <c r="DU3" s="21">
        <f>100*Monatswerte!DU3/Erwerbspersonen!$D4</f>
        <v>4.0574329184334736</v>
      </c>
      <c r="DV3" s="21">
        <f>100*Monatswerte!DV3/Erwerbspersonen!$D4</f>
        <v>3.9539933826098275</v>
      </c>
      <c r="DW3" s="21">
        <f>100*Monatswerte!DW3/Erwerbspersonen!$D4</f>
        <v>3.8375382760534049</v>
      </c>
      <c r="DX3" s="21">
        <f>100*Monatswerte!DX3/Erwerbspersonen!$D4</f>
        <v>3.7943813836236719</v>
      </c>
      <c r="DY3" s="21">
        <f>100*Monatswerte!DY3/Erwerbspersonen!$D4</f>
        <v>3.7752005425437907</v>
      </c>
      <c r="DZ3" s="21">
        <f>100*Monatswerte!DZ3/Erwerbspersonen!$D4</f>
        <v>3.6580604059488007</v>
      </c>
      <c r="EA3" s="21">
        <f>100*Monatswerte!EA3/Erwerbspersonen!$D4</f>
        <v>3.6238089040204411</v>
      </c>
      <c r="EB3" s="21">
        <f>100*Monatswerte!EB3/Erwerbspersonen!$D4</f>
        <v>3.6183286637119036</v>
      </c>
      <c r="EC3" s="21">
        <f>100*Monatswerte!EC3/Erwerbspersonen!$D4</f>
        <v>3.7245083196898183</v>
      </c>
      <c r="ED3" s="21">
        <f>100*Monatswerte!ED3/Erwerbspersonen!$D4</f>
        <v>3.9204269107200349</v>
      </c>
      <c r="EE3" s="25">
        <f>100*Monatswerte!EE3/Erwerbspersonen!$D4</f>
        <v>3.9224820008357368</v>
      </c>
      <c r="EF3" s="21">
        <f>100*Monatswerte!EF3/Erwerbspersonen!$D4</f>
        <v>3.9539933826098275</v>
      </c>
      <c r="EG3" s="21">
        <f>100*Monatswerte!EG3/Erwerbspersonen!$D4</f>
        <v>4.02660656669795</v>
      </c>
      <c r="EH3" s="21">
        <f>100*Monatswerte!EH3/Erwerbspersonen!$D4</f>
        <v>4.039622137430726</v>
      </c>
      <c r="EI3" s="21">
        <f>100*Monatswerte!EI3/Erwerbspersonen!$D4</f>
        <v>3.9622137430726339</v>
      </c>
      <c r="EJ3" s="21">
        <f>100*Monatswerte!EJ3/Erwerbspersonen!$D4</f>
        <v>4.0245514765822481</v>
      </c>
      <c r="EK3" s="21">
        <f>100*Monatswerte!EK3/Erwerbspersonen!$D4</f>
        <v>4.1437467032929396</v>
      </c>
      <c r="EL3" s="21">
        <f>100*Monatswerte!EL3/Erwerbspersonen!$D4</f>
        <v>4.1649826344885224</v>
      </c>
      <c r="EM3" s="21">
        <f>100*Monatswerte!EM3/Erwerbspersonen!$D4</f>
        <v>4.2067694668411209</v>
      </c>
      <c r="EN3" s="21">
        <f>100*Monatswerte!EN3/Erwerbspersonen!$D4</f>
        <v>4.3054137923947966</v>
      </c>
      <c r="EO3" s="21">
        <f>100*Monatswerte!EO3/Erwerbspersonen!$D4</f>
        <v>4.5725755074360013</v>
      </c>
      <c r="EP3" s="21">
        <f>100*Monatswerte!EP3/Erwerbspersonen!$D4</f>
        <v>4.7753443988518898</v>
      </c>
      <c r="EQ3" s="25">
        <f>100*Monatswerte!EQ3/Erwerbspersonen!$D4</f>
        <v>4.763698888196247</v>
      </c>
      <c r="ER3" s="21">
        <f>100*Monatswerte!ER3/Erwerbspersonen!$D4</f>
        <v>4.7965803300474725</v>
      </c>
      <c r="ES3" s="21">
        <f>100*Monatswerte!ES3/Erwerbspersonen!$D4</f>
        <v>4.7369827166921272</v>
      </c>
      <c r="ET3" s="21">
        <f>100*Monatswerte!ET3/Erwerbspersonen!$D4</f>
        <v>4.6568342021797653</v>
      </c>
      <c r="EU3" s="21">
        <f>100*Monatswerte!EU3/Erwerbspersonen!$D4</f>
        <v>4.6081970694414949</v>
      </c>
      <c r="EV3" s="21">
        <f>100*Monatswerte!EV3/Erwerbspersonen!$D4</f>
        <v>4.5705204173202993</v>
      </c>
      <c r="EW3" s="21">
        <f>100*Monatswerte!EW3/Erwerbspersonen!$D4</f>
        <v>4.5307886750834028</v>
      </c>
      <c r="EX3" s="21">
        <f>100*Monatswerte!EX3/Erwerbspersonen!$D4</f>
        <v>4.6198425800971377</v>
      </c>
      <c r="EY3" s="21">
        <f>100*Monatswerte!EY3/Erwerbspersonen!$D4</f>
        <v>4.6664246227197062</v>
      </c>
      <c r="EZ3" s="21">
        <f>100*Monatswerte!EZ3/Erwerbspersonen!$D4</f>
        <v>4.7150617554579766</v>
      </c>
      <c r="FA3" s="21">
        <f>100*Monatswerte!FA3/Erwerbspersonen!$D4</f>
        <v>4.8630282437884897</v>
      </c>
      <c r="FB3" s="27">
        <f>100*Monatswerte!FB3/Erwerbspersonen!$D4</f>
        <v>4.9815384404606142</v>
      </c>
      <c r="FC3" s="21">
        <f>100*Monatswerte!FC3/Erwerbspersonen!$E4</f>
        <v>4.8541239133177925</v>
      </c>
      <c r="FD3" s="21">
        <f>100*Monatswerte!FD3/Erwerbspersonen!$E4</f>
        <v>4.8215815584467334</v>
      </c>
      <c r="FE3" s="21">
        <f>100*Monatswerte!FE3/Erwerbspersonen!$E4</f>
        <v>4.7664587940733067</v>
      </c>
      <c r="FF3" s="21">
        <f>100*Monatswerte!FF3/Erwerbspersonen!$E4</f>
        <v>4.5957774634230573</v>
      </c>
      <c r="FG3" s="21">
        <f>100*Monatswerte!FG3/Erwerbspersonen!$E4</f>
        <v>4.5200666786210011</v>
      </c>
      <c r="FH3" s="21">
        <f>100*Monatswerte!FH3/Erwerbspersonen!$E4</f>
        <v>4.4297450406115306</v>
      </c>
      <c r="FI3" s="21">
        <f>100*Monatswerte!FI3/Erwerbspersonen!$E4</f>
        <v>4.4802188971462344</v>
      </c>
      <c r="FJ3" s="21">
        <f>100*Monatswerte!FJ3/Erwerbspersonen!$E4</f>
        <v>4.4211113546253316</v>
      </c>
      <c r="FK3" s="21">
        <f>100*Monatswerte!FK3/Erwerbspersonen!$E4</f>
        <v>4.4018515935791944</v>
      </c>
      <c r="FL3" s="21">
        <f>100*Monatswerte!FL3/Erwerbspersonen!$E4</f>
        <v>4.3566907745744592</v>
      </c>
      <c r="FM3" s="21">
        <f>100*Monatswerte!FM3/Erwerbspersonen!$E4</f>
        <v>4.476898248690004</v>
      </c>
      <c r="FN3" s="21">
        <f>100*Monatswerte!FN3/Erwerbspersonen!$E4</f>
        <v>4.5472959959620916</v>
      </c>
      <c r="FO3" s="25">
        <f>100*Monatswerte!FO3/Erwerbspersonen!$E4</f>
        <v>4.5459677365795992</v>
      </c>
      <c r="FP3" s="21">
        <f>100*Monatswerte!FP3/Erwerbspersonen!$E4</f>
        <v>4.4888525831324344</v>
      </c>
      <c r="FQ3" s="21">
        <f>100*Monatswerte!FQ3/Erwerbspersonen!$E4</f>
        <v>4.4257602624640544</v>
      </c>
      <c r="FR3" s="21">
        <f>100*Monatswerte!FR3/Erwerbspersonen!$E4</f>
        <v>4.2663691365649887</v>
      </c>
      <c r="FS3" s="21">
        <f>100*Monatswerte!FS3/Erwerbspersonen!$E4</f>
        <v>4.0870541199285393</v>
      </c>
      <c r="FT3" s="21">
        <f>100*Monatswerte!FT3/Erwerbspersonen!$E4</f>
        <v>3.8944565094671688</v>
      </c>
      <c r="FU3" s="21">
        <f>100*Monatswerte!FU3/Erwerbspersonen!$E4</f>
        <v>3.9050825845271064</v>
      </c>
      <c r="FV3" s="21">
        <f>100*Monatswerte!FV3/Erwerbspersonen!$E4</f>
        <v>3.871211970273555</v>
      </c>
      <c r="FW3" s="21">
        <f>100*Monatswerte!FW3/Erwerbspersonen!$E4</f>
        <v>3.8373413560200036</v>
      </c>
      <c r="FX3" s="21">
        <f>100*Monatswerte!FX3/Erwerbspersonen!$E4</f>
        <v>3.8685554515085707</v>
      </c>
      <c r="FY3" s="21">
        <f>100*Monatswerte!FY3/Erwerbspersonen!$E4</f>
        <v>3.9927477037715926</v>
      </c>
      <c r="FZ3" s="21">
        <f>100*Monatswerte!FZ3/Erwerbspersonen!$E4</f>
        <v>4.0711150073386335</v>
      </c>
      <c r="GA3" s="25">
        <f>100*Monatswerte!GA3/Erwerbspersonen!$E4</f>
        <v>4.0558400244399726</v>
      </c>
      <c r="GB3" s="21">
        <f>100*Monatswerte!GB3/Erwerbspersonen!$E4</f>
        <v>3.9741520724167017</v>
      </c>
      <c r="GC3" s="21">
        <f>100*Monatswerte!GC3/Erwerbspersonen!$E4</f>
        <v>3.9090673626745831</v>
      </c>
      <c r="GD3" s="21">
        <f>100*Monatswerte!GD3/Erwerbspersonen!$E4</f>
        <v>3.7955011854714988</v>
      </c>
      <c r="GE3" s="21">
        <f>100*Monatswerte!GE3/Erwerbspersonen!$E4</f>
        <v>3.7058436771532746</v>
      </c>
      <c r="GF3" s="21">
        <f>100*Monatswerte!GF3/Erwerbspersonen!$E4</f>
        <v>3.6361100595724332</v>
      </c>
      <c r="GG3" s="21">
        <f>100*Monatswerte!GG3/Erwerbspersonen!$E4</f>
        <v>3.652713301853586</v>
      </c>
      <c r="GH3" s="21">
        <f>100*Monatswerte!GH3/Erwerbspersonen!$E4</f>
        <v>3.5796590358165141</v>
      </c>
      <c r="GI3" s="21">
        <f>100*Monatswerte!GI3/Erwerbspersonen!$E4</f>
        <v>3.6268122438949879</v>
      </c>
      <c r="GJ3" s="21">
        <f>100*Monatswerte!GJ3/Erwerbspersonen!$E4</f>
        <v>3.7264316975819036</v>
      </c>
      <c r="GK3" s="21">
        <f>100*Monatswerte!GK3/Erwerbspersonen!$E4</f>
        <v>3.8805097859510007</v>
      </c>
      <c r="GL3" s="21">
        <f>100*Monatswerte!GL3/Erwerbspersonen!$E4</f>
        <v>4.0239617992601593</v>
      </c>
      <c r="GM3" s="25">
        <f>100*Monatswerte!GM3/Erwerbspersonen!$F4</f>
        <v>4.0998566790424658</v>
      </c>
      <c r="GN3" s="21">
        <f>100*Monatswerte!GN3/Erwerbspersonen!$F4</f>
        <v>3.9995975874328598</v>
      </c>
      <c r="GO3" s="21">
        <f>100*Monatswerte!GO3/Erwerbspersonen!$F4</f>
        <v>4.3952509153955992</v>
      </c>
      <c r="GP3" s="21">
        <f>100*Monatswerte!GP3/Erwerbspersonen!$F4</f>
        <v>4.7431297768866472</v>
      </c>
      <c r="GQ3" s="21">
        <f>100*Monatswerte!GQ3/Erwerbspersonen!$F4</f>
        <v>4.8790514983976561</v>
      </c>
      <c r="GR3" s="21">
        <f>100*Monatswerte!GR3/Erwerbspersonen!$F4</f>
        <v>5.0365053738113987</v>
      </c>
      <c r="GS3" s="21">
        <f>100*Monatswerte!GS3/Erwerbspersonen!$F4</f>
        <v>5.2397150762684523</v>
      </c>
      <c r="GT3" s="21">
        <f>100*Monatswerte!GT3/Erwerbspersonen!$F4</f>
        <v>5.2639387494090277</v>
      </c>
      <c r="GU3" s="21">
        <f>100*Monatswerte!GU3/Erwerbspersonen!$F4</f>
        <v>5.2753777061698557</v>
      </c>
      <c r="GV3" s="21">
        <f>100*Monatswerte!GV3/Erwerbspersonen!$F4</f>
        <v>5.347375845782123</v>
      </c>
      <c r="GW3" s="21">
        <f>100*Monatswerte!GW3/Erwerbspersonen!$F4</f>
        <v>5.5593329857621612</v>
      </c>
      <c r="GX3" s="27">
        <f>100*Monatswerte!GX3/Erwerbspersonen!$F4</f>
        <v>5.7591782891719125</v>
      </c>
      <c r="GY3" s="21">
        <f>100*Monatswerte!GY3/Erwerbspersonen!$F4</f>
        <v>5.7692714863138193</v>
      </c>
      <c r="GZ3" s="21">
        <f>100*Monatswerte!GZ3/Erwerbspersonen!$F4</f>
        <v>5.7369732554597181</v>
      </c>
      <c r="HA3" s="21">
        <f>100*Monatswerte!HA3/Erwerbspersonen!$F4</f>
        <v>5.681797111083962</v>
      </c>
      <c r="HB3" s="21">
        <f>100*Monatswerte!HB3/Erwerbspersonen!$F4</f>
        <v>5.5647160242378453</v>
      </c>
      <c r="HC3" s="21">
        <f>100*Monatswerte!HC3/Erwerbspersonen!$F4</f>
        <v>5.4631111730093185</v>
      </c>
      <c r="HD3" s="21">
        <f>100*Monatswerte!HD3/Erwerbspersonen!$F4</f>
        <v>5.3144047351185613</v>
      </c>
      <c r="HE3" s="21">
        <f>100*Monatswerte!HE3/Erwerbspersonen!$F4</f>
        <v>5.1690626962751063</v>
      </c>
      <c r="HF3" s="21">
        <f>100*Monatswerte!HF3/Erwerbspersonen!$F4</f>
        <v>5.0109359410519021</v>
      </c>
      <c r="HG3" s="21">
        <f>100*Monatswerte!HG3/Erwerbspersonen!$F4</f>
        <v>4.8918362147774044</v>
      </c>
      <c r="HH3" s="21">
        <f>100*Monatswerte!HH3/Erwerbspersonen!$F4</f>
        <v>4.7996516808813237</v>
      </c>
      <c r="HI3" s="21">
        <f>100*Monatswerte!HI3/Erwerbspersonen!$F4</f>
        <v>4.9073124503949943</v>
      </c>
      <c r="HJ3" s="21">
        <f>100*Monatswerte!HJ3/Erwerbspersonen!$F4</f>
        <v>4.9375920418207144</v>
      </c>
      <c r="HK3" s="60">
        <f>100*Monatswerte!HK3/Erwerbspersonen!$F4</f>
        <v>4.8501176665908572</v>
      </c>
      <c r="HL3" s="3">
        <f>100*Monatswerte!HL3/Erwerbspersonen!$F4</f>
        <v>4.7902313635488776</v>
      </c>
      <c r="HM3" s="3">
        <f>100*Monatswerte!HM3/Erwerbspersonen!$F4</f>
        <v>4.6415249256581204</v>
      </c>
      <c r="HN3" s="3">
        <f>100*Monatswerte!HN3/Erwerbspersonen!$F4</f>
        <v>4.3979424346334408</v>
      </c>
      <c r="HO3" s="3">
        <f>100*Monatswerte!HO3/Erwerbspersonen!$F4</f>
        <v>4.2129004870318196</v>
      </c>
      <c r="HP3" s="3">
        <f>100*Monatswerte!HP3/Erwerbspersonen!$F4</f>
        <v>4.0473720539045512</v>
      </c>
      <c r="HQ3" s="3">
        <f>100*Monatswerte!HQ3/Erwerbspersonen!$F4</f>
        <v>3.9316367266773553</v>
      </c>
      <c r="HR3" s="3">
        <f>100*Monatswerte!HR3/Erwerbspersonen!$F4</f>
        <v>3.8064810821177133</v>
      </c>
      <c r="HS3" s="3">
        <f>100*Monatswerte!HS3/Erwerbspersonen!$F4</f>
        <v>3.6483543268945096</v>
      </c>
      <c r="HT3" s="3">
        <f>100*Monatswerte!HT3/Erwerbspersonen!$F4</f>
        <v>3.6288408124201568</v>
      </c>
      <c r="HU3" s="3">
        <f>100*Monatswerte!HU3/Erwerbspersonen!$F4</f>
        <v>3.6651763221310207</v>
      </c>
      <c r="HV3" s="64">
        <f>100*Monatswerte!HV3/Erwerbspersonen!$F4</f>
        <v>3.6779610385107691</v>
      </c>
      <c r="HW3" s="3">
        <f>100*[5]Monatswerte!HW3/[5]Erwerbspersonen!$F4</f>
        <v>3.6618119230837185</v>
      </c>
      <c r="HX3" s="3">
        <f>100*[5]Monatswerte!HX3/[5]Erwerbspersonen!$F4</f>
        <v>3.6651763221310207</v>
      </c>
      <c r="HY3" s="3">
        <f>100*[5]Monatswerte!HY3/[5]Erwerbspersonen!$F4</f>
        <v>3.5763561872822427</v>
      </c>
      <c r="HZ3" s="3">
        <f>100*[5]Monatswerte!HZ3/[5]Erwerbspersonen!$F4</f>
        <v>3.4384158263428524</v>
      </c>
      <c r="IA3" s="3">
        <f>100*[5]Monatswerte!IA3/[5]Erwerbspersonen!$F4</f>
        <v>3.3650719271116643</v>
      </c>
      <c r="IB3" s="3">
        <f>100*[5]Monatswerte!IB3/[5]Erwerbspersonen!$F4</f>
        <v>3.3105686625453683</v>
      </c>
      <c r="IC3" s="3">
        <f>100*[5]Monatswerte!IC3/[5]Erwerbspersonen!$F4</f>
        <v>3.3697820857778873</v>
      </c>
      <c r="ID3" s="3">
        <f>100*[5]Monatswerte!ID3/[5]Erwerbspersonen!$F4</f>
        <v>3.3630532876832828</v>
      </c>
      <c r="IE3" s="3">
        <f>100*[5]Monatswerte!IE3/[5]Erwerbspersonen!$F4</f>
        <v>3.3213347394967356</v>
      </c>
      <c r="IF3" s="3">
        <f>100*[5]Monatswerte!IF3/[5]Erwerbspersonen!$F4</f>
        <v>3.4249582301536434</v>
      </c>
      <c r="IG3" s="3">
        <f>100*[5]Monatswerte!IG3/[5]Erwerbspersonen!$F4</f>
        <v>3.6389340095620635</v>
      </c>
      <c r="IH3" s="3">
        <f>100*[5]Monatswerte!IH3/[5]Erwerbspersonen!$F4</f>
        <v>3.7216982261256977</v>
      </c>
      <c r="II3" s="60">
        <f>100*[6]Monatswerte!II3/[6]Erwerbspersonen!$G4</f>
        <v>3.8102022500345636</v>
      </c>
      <c r="IJ3" s="3">
        <f>100*[6]Monatswerte!IJ3/[6]Erwerbspersonen!$G4</f>
        <v>3.8430084194690557</v>
      </c>
      <c r="IK3" s="3">
        <f>100*[6]Monatswerte!IK3/[6]Erwerbspersonen!$G4</f>
        <v>3.8343047418639866</v>
      </c>
      <c r="IL3" s="3">
        <f>100*[6]Monatswerte!IL3/[6]Erwerbspersonen!$G4</f>
        <v>3.8590767473553376</v>
      </c>
      <c r="IM3" s="3">
        <f>100*[6]Monatswerte!IM3/[6]Erwerbspersonen!$G4</f>
        <v>3.8798316708751179</v>
      </c>
      <c r="IN3" s="3">
        <f>100*[6]Monatswerte!IN3/[6]Erwerbspersonen!$G4</f>
        <v>3.924019572562393</v>
      </c>
      <c r="IO3" s="3">
        <f>100*[6]Monatswerte!IO3/[6]Erwerbspersonen!$G4</f>
        <v>4.0405149497379353</v>
      </c>
      <c r="IP3" s="3">
        <f>100*[6]Monatswerte!IP3/[6]Erwerbspersonen!$G4</f>
        <v>4.0231075945277972</v>
      </c>
      <c r="IQ3" s="3">
        <f>100*[6]Monatswerte!IQ3/[6]Erwerbspersonen!$G4</f>
        <v>4.1329078350840556</v>
      </c>
      <c r="IR3" s="3">
        <f>100*[6]Monatswerte!IR3/[6]Erwerbspersonen!$G4</f>
        <v>4.2882350046514466</v>
      </c>
      <c r="IS3" s="3">
        <f>100*[6]Monatswerte!IS3/[6]Erwerbspersonen!$G4</f>
        <v>4.511183054073606</v>
      </c>
      <c r="IT3" s="3">
        <f>100*[6]Monatswerte!IT3/[6]Erwerbspersonen!$G4</f>
        <v>4.7167237482856263</v>
      </c>
      <c r="IU3" s="60">
        <f>100*[7]Monatswerte!IU3/[7]Erwerbspersonen!$G4</f>
        <v>4.8666948085575896</v>
      </c>
      <c r="IV3" s="3">
        <f>100*[7]Monatswerte!IV3/[7]Erwerbspersonen!$G4</f>
        <v>4.9088741692590796</v>
      </c>
      <c r="IW3" s="3">
        <f>100*[7]Monatswerte!IW3/[7]Erwerbspersonen!$G4</f>
        <v>4.9423498523555001</v>
      </c>
      <c r="IX3" s="3">
        <f>100*[7]Monatswerte!IX3/[7]Erwerbspersonen!$G4</f>
        <v>4.884771677429657</v>
      </c>
      <c r="IY3" s="3">
        <f>100*[7]Monatswerte!IY3/[7]Erwerbspersonen!$G4</f>
        <v>4.815811770251031</v>
      </c>
      <c r="IZ3" s="3">
        <f>100*[7]Monatswerte!IZ3/[7]Erwerbspersonen!$G4</f>
        <v>4.9296290927788604</v>
      </c>
      <c r="JA3" s="3">
        <f>100*[7]Monatswerte!JA3/[7]Erwerbspersonen!$G4</f>
        <v>5.0012670546051998</v>
      </c>
      <c r="JB3" s="3">
        <f>100*[7]Monatswerte!JB3/[7]Erwerbspersonen!$G4</f>
        <v>4.9952414316478437</v>
      </c>
      <c r="JC3" s="3">
        <f>100*[7]Monatswerte!JC3/[7]Erwerbspersonen!$G4</f>
        <v>5.0180048961534096</v>
      </c>
      <c r="JD3" s="3">
        <f>100*[7]Monatswerte!JD3/[7]Erwerbspersonen!$G4</f>
        <v>5.1686454700873012</v>
      </c>
      <c r="JE3" s="3">
        <f>100*[7]Monatswerte!JE3/[7]Erwerbspersonen!$G4</f>
        <v>5.2590298144476364</v>
      </c>
      <c r="JF3" s="3">
        <f>100*[7]Monatswerte!JF3/[7]Erwerbspersonen!$G4</f>
        <v>5.3474056178221865</v>
      </c>
      <c r="JG3" s="60">
        <f>100*[7]Monatswerte!JG3/[7]Erwerbspersonen!$G4</f>
        <v>5.4357814211967357</v>
      </c>
      <c r="JH3" s="3">
        <f>100*[7]Monatswerte!JH3/[7]Erwerbspersonen!$G4</f>
        <v>5.3500836724698999</v>
      </c>
      <c r="JI3" s="3">
        <f>100*[7]Monatswerte!JI3/[7]Erwerbspersonen!$G4</f>
        <v>5.2992006341633404</v>
      </c>
    </row>
    <row r="4" spans="1:269" s="4" customFormat="1" ht="14.25" x14ac:dyDescent="0.25">
      <c r="A4" s="4" t="s">
        <v>1</v>
      </c>
      <c r="B4" s="4">
        <v>2</v>
      </c>
      <c r="C4" s="22">
        <f>100*Monatswerte!C4/Erwerbspersonen!$B5</f>
        <v>4.0126851168326381</v>
      </c>
      <c r="D4" s="22">
        <f>100*Monatswerte!D4/Erwerbspersonen!$B5</f>
        <v>3.9486569142926013</v>
      </c>
      <c r="E4" s="22">
        <f>100*Monatswerte!E4/Erwerbspersonen!$B5</f>
        <v>3.7942359552254548</v>
      </c>
      <c r="F4" s="22">
        <f>100*Monatswerte!F4/Erwerbspersonen!$B5</f>
        <v>3.6044111665185228</v>
      </c>
      <c r="G4" s="22">
        <f>100*Monatswerte!G4/Erwerbspersonen!$B5</f>
        <v>3.4349247480301912</v>
      </c>
      <c r="H4" s="22">
        <f>100*Monatswerte!H4/Erwerbspersonen!$B5</f>
        <v>3.3241936212844809</v>
      </c>
      <c r="I4" s="22">
        <f>100*Monatswerte!I4/Erwerbspersonen!$B5</f>
        <v>3.3611039968663845</v>
      </c>
      <c r="J4" s="22">
        <f>100*Monatswerte!J4/Erwerbspersonen!$B5</f>
        <v>3.5012127694834052</v>
      </c>
      <c r="K4" s="22">
        <f>100*Monatswerte!K4/Erwerbspersonen!$B5</f>
        <v>3.3942480075929917</v>
      </c>
      <c r="L4" s="22">
        <f>100*Monatswerte!L4/Erwerbspersonen!$B5</f>
        <v>3.263931783599741</v>
      </c>
      <c r="M4" s="22">
        <f>100*Monatswerte!M4/Erwerbspersonen!$B5</f>
        <v>3.3980143724482876</v>
      </c>
      <c r="N4" s="28">
        <f>100*Monatswerte!N4/Erwerbspersonen!$B5</f>
        <v>3.6179700799975896</v>
      </c>
      <c r="O4" s="22">
        <f>100*Monatswerte!O4/Erwerbspersonen!$B5</f>
        <v>3.6518673636952559</v>
      </c>
      <c r="P4" s="22">
        <f>100*Monatswerte!P4/Erwerbspersonen!$B5</f>
        <v>3.673712279855974</v>
      </c>
      <c r="Q4" s="22">
        <f>100*Monatswerte!Q4/Erwerbspersonen!$B5</f>
        <v>3.571267155791916</v>
      </c>
      <c r="R4" s="22">
        <f>100*Monatswerte!R4/Erwerbspersonen!$B5</f>
        <v>3.3693899995480363</v>
      </c>
      <c r="S4" s="22">
        <f>100*Monatswerte!S4/Erwerbspersonen!$B5</f>
        <v>3.2910496105578741</v>
      </c>
      <c r="T4" s="22">
        <f>100*Monatswerte!T4/Erwerbspersonen!$B5</f>
        <v>3.1848381216385193</v>
      </c>
      <c r="U4" s="22">
        <f>100*Monatswerte!U4/Erwerbspersonen!$B5</f>
        <v>3.2036699459150006</v>
      </c>
      <c r="V4" s="22">
        <f>100*Monatswerte!V4/Erwerbspersonen!$B5</f>
        <v>3.2842701538183405</v>
      </c>
      <c r="W4" s="22">
        <f>100*Monatswerte!W4/Erwerbspersonen!$B5</f>
        <v>3.2933094294710519</v>
      </c>
      <c r="X4" s="22">
        <f>100*Monatswerte!X4/Erwerbspersonen!$B5</f>
        <v>3.2481130512074965</v>
      </c>
      <c r="Y4" s="22">
        <f>100*Monatswerte!Y4/Erwerbspersonen!$B5</f>
        <v>3.2857766997604592</v>
      </c>
      <c r="Z4" s="28">
        <f>100*Monatswerte!Z4/Erwerbspersonen!$B5</f>
        <v>3.3573376320110881</v>
      </c>
      <c r="AA4" s="22">
        <f>100*Monatswerte!AA4/Erwerbspersonen!$B5</f>
        <v>3.4627958479593834</v>
      </c>
      <c r="AB4" s="22">
        <f>100*Monatswerte!AB4/Erwerbspersonen!$B5</f>
        <v>3.3799358211428658</v>
      </c>
      <c r="AC4" s="22">
        <f>100*Monatswerte!AC4/Erwerbspersonen!$B5</f>
        <v>3.243593413381141</v>
      </c>
      <c r="AD4" s="22">
        <f>100*Monatswerte!AD4/Erwerbspersonen!$B5</f>
        <v>3.0854060894586981</v>
      </c>
      <c r="AE4" s="22">
        <f>100*Monatswerte!AE4/Erwerbspersonen!$B5</f>
        <v>2.8903083899543516</v>
      </c>
      <c r="AF4" s="22">
        <f>100*Monatswerte!AF4/Erwerbspersonen!$B5</f>
        <v>2.756979074076864</v>
      </c>
      <c r="AG4" s="22">
        <f>100*Monatswerte!AG4/Erwerbspersonen!$B5</f>
        <v>2.7690314416138122</v>
      </c>
      <c r="AH4" s="22">
        <f>100*Monatswerte!AH4/Erwerbspersonen!$B5</f>
        <v>2.7426668876267382</v>
      </c>
      <c r="AI4" s="22">
        <f>100*Monatswerte!AI4/Erwerbspersonen!$B5</f>
        <v>2.7163023336396646</v>
      </c>
      <c r="AJ4" s="22">
        <f>100*Monatswerte!AJ4/Erwerbspersonen!$B5</f>
        <v>2.6372086716784429</v>
      </c>
      <c r="AK4" s="22">
        <f>100*Monatswerte!AK4/Erwerbspersonen!$B5</f>
        <v>2.5942721123280656</v>
      </c>
      <c r="AL4" s="28">
        <f>100*Monatswerte!AL4/Erwerbspersonen!$B5</f>
        <v>2.7373939768293236</v>
      </c>
      <c r="AM4" s="22">
        <f>100*Monatswerte!AM4/Erwerbspersonen!$B5</f>
        <v>2.7953959956008858</v>
      </c>
      <c r="AN4" s="22">
        <f>100*Monatswerte!AN4/Erwerbspersonen!$B5</f>
        <v>2.7132892417554273</v>
      </c>
      <c r="AO4" s="22">
        <f>100*Monatswerte!AO4/Erwerbspersonen!$B5</f>
        <v>2.5920122934148875</v>
      </c>
      <c r="AP4" s="22">
        <f>100*Monatswerte!AP4/Erwerbspersonen!$B5</f>
        <v>2.4353315154345632</v>
      </c>
      <c r="AQ4" s="22">
        <f>100*Monatswerte!AQ4/Erwerbspersonen!$B5</f>
        <v>2.3969145939105414</v>
      </c>
      <c r="AR4" s="22">
        <f>100*Monatswerte!AR4/Erwerbspersonen!$B5</f>
        <v>2.2974825617307202</v>
      </c>
      <c r="AS4" s="22">
        <f>100*Monatswerte!AS4/Erwerbspersonen!$B5</f>
        <v>2.3471985778206306</v>
      </c>
      <c r="AT4" s="22">
        <f>100*Monatswerte!AT4/Erwerbspersonen!$B5</f>
        <v>2.4036940506500746</v>
      </c>
      <c r="AU4" s="22">
        <f>100*Monatswerte!AU4/Erwerbspersonen!$B5</f>
        <v>2.2891965590490684</v>
      </c>
      <c r="AV4" s="22">
        <f>100*Monatswerte!AV4/Erwerbspersonen!$B5</f>
        <v>2.2432469078144539</v>
      </c>
      <c r="AW4" s="22">
        <f>100*Monatswerte!AW4/Erwerbspersonen!$B5</f>
        <v>2.3381593021679197</v>
      </c>
      <c r="AX4" s="28">
        <f>100*Monatswerte!AX4/Erwerbspersonen!$B5</f>
        <v>2.4503969748557481</v>
      </c>
      <c r="AY4" s="22">
        <f>100*Monatswerte!AY4/Erwerbspersonen!$C5</f>
        <v>2.3045582755858898</v>
      </c>
      <c r="AZ4" s="22">
        <f>100*Monatswerte!AZ4/Erwerbspersonen!$C5</f>
        <v>2.1729289271163421</v>
      </c>
      <c r="BA4" s="22">
        <f>100*Monatswerte!BA4/Erwerbspersonen!$C5</f>
        <v>2.1025873176167429</v>
      </c>
      <c r="BB4" s="22">
        <f>100*Monatswerte!BB4/Erwerbspersonen!$C5</f>
        <v>2.1332311871017167</v>
      </c>
      <c r="BC4" s="22">
        <f>100*Monatswerte!BC4/Erwerbspersonen!$C5</f>
        <v>1.9354389386077933</v>
      </c>
      <c r="BD4" s="22">
        <f>100*Monatswerte!BD4/Erwerbspersonen!$C5</f>
        <v>1.8316676533064038</v>
      </c>
      <c r="BE4" s="22">
        <f>100*Monatswerte!BE4/Erwerbspersonen!$C5</f>
        <v>1.9242957133405301</v>
      </c>
      <c r="BF4" s="22">
        <f>100*Monatswerte!BF4/Erwerbspersonen!$C5</f>
        <v>1.9528502280878921</v>
      </c>
      <c r="BG4" s="22">
        <f>100*Monatswerte!BG4/Erwerbspersonen!$C5</f>
        <v>1.9667792596719713</v>
      </c>
      <c r="BH4" s="22">
        <f>100*Monatswerte!BH4/Erwerbspersonen!$C5</f>
        <v>2.0113521607410245</v>
      </c>
      <c r="BI4" s="22">
        <f>100*Monatswerte!BI4/Erwerbspersonen!$C5</f>
        <v>2.2119302155517637</v>
      </c>
      <c r="BJ4" s="28">
        <f>100*Monatswerte!BJ4/Erwerbspersonen!$C5</f>
        <v>2.5427447156736429</v>
      </c>
      <c r="BK4" s="22">
        <f>100*Monatswerte!BK4/Erwerbspersonen!$C5</f>
        <v>2.8136643799839818</v>
      </c>
      <c r="BL4" s="22">
        <f>100*Monatswerte!BL4/Erwerbspersonen!$C5</f>
        <v>3.0037956611066616</v>
      </c>
      <c r="BM4" s="22">
        <f>100*Monatswerte!BM4/Erwerbspersonen!$C5</f>
        <v>3.1577114601107357</v>
      </c>
      <c r="BN4" s="22">
        <f>100*Monatswerte!BN4/Erwerbspersonen!$C5</f>
        <v>3.2412856496152105</v>
      </c>
      <c r="BO4" s="22">
        <f>100*Monatswerte!BO4/Erwerbspersonen!$C5</f>
        <v>3.3199846780652575</v>
      </c>
      <c r="BP4" s="22">
        <f>100*Monatswerte!BP4/Erwerbspersonen!$C5</f>
        <v>3.6048333739596754</v>
      </c>
      <c r="BQ4" s="22">
        <f>100*Monatswerte!BQ4/Erwerbspersonen!$C5</f>
        <v>3.7629278824389734</v>
      </c>
      <c r="BR4" s="22">
        <f>100*Monatswerte!BR4/Erwerbspersonen!$C5</f>
        <v>3.8221262666713098</v>
      </c>
      <c r="BS4" s="22">
        <f>100*Monatswerte!BS4/Erwerbspersonen!$C5</f>
        <v>3.8653062645819549</v>
      </c>
      <c r="BT4" s="22">
        <f>100*Monatswerte!BT4/Erwerbspersonen!$C5</f>
        <v>3.9412194867151862</v>
      </c>
      <c r="BU4" s="22">
        <f>100*Monatswerte!BU4/Erwerbspersonen!$C5</f>
        <v>4.0275794825364768</v>
      </c>
      <c r="BV4" s="28">
        <f>100*Monatswerte!BV4/Erwerbspersonen!$C5</f>
        <v>4.2643730194658218</v>
      </c>
      <c r="BW4" s="22">
        <f>100*Monatswerte!BW4/Erwerbspersonen!$C5</f>
        <v>4.256015600515374</v>
      </c>
      <c r="BX4" s="22">
        <f>100*Monatswerte!BX4/Erwerbspersonen!$C5</f>
        <v>4.1801023783821432</v>
      </c>
      <c r="BY4" s="22">
        <f>100*Monatswerte!BY4/Erwerbspersonen!$C5</f>
        <v>4.0080788383187658</v>
      </c>
      <c r="BZ4" s="22">
        <f>100*Monatswerte!BZ4/Erwerbspersonen!$C5</f>
        <v>3.7601420761221576</v>
      </c>
      <c r="CA4" s="22">
        <f>100*Monatswerte!CA4/Erwerbspersonen!$C5</f>
        <v>3.5539924086777868</v>
      </c>
      <c r="CB4" s="22">
        <f>100*Monatswerte!CB4/Erwerbspersonen!$C5</f>
        <v>3.3819688686144094</v>
      </c>
      <c r="CC4" s="22">
        <f>100*Monatswerte!CC4/Erwerbspersonen!$C5</f>
        <v>3.3095379043771982</v>
      </c>
      <c r="CD4" s="22">
        <f>100*Monatswerte!CD4/Erwerbspersonen!$C5</f>
        <v>3.253125326461678</v>
      </c>
      <c r="CE4" s="22">
        <f>100*Monatswerte!CE4/Erwerbspersonen!$C5</f>
        <v>2.9863843716265626</v>
      </c>
      <c r="CF4" s="22">
        <f>100*Monatswerte!CF4/Erwerbspersonen!$C5</f>
        <v>2.9933488874186023</v>
      </c>
      <c r="CG4" s="22">
        <f>100*Monatswerte!CG4/Erwerbspersonen!$C5</f>
        <v>2.9097746979141275</v>
      </c>
      <c r="CH4" s="28">
        <f>100*Monatswerte!CH4/Erwerbspersonen!$C5</f>
        <v>3.0462792074381029</v>
      </c>
      <c r="CI4" s="22">
        <f>100*Monatswerte!CI4/Erwerbspersonen!$C5</f>
        <v>3.0483685621757148</v>
      </c>
      <c r="CJ4" s="22">
        <f>100*Monatswerte!CJ4/Erwerbspersonen!$C5</f>
        <v>2.8874882473796011</v>
      </c>
      <c r="CK4" s="22">
        <f>100*Monatswerte!CK4/Erwerbspersonen!$C5</f>
        <v>2.6883030957272696</v>
      </c>
      <c r="CL4" s="22">
        <f>100*Monatswerte!CL4/Erwerbspersonen!$C5</f>
        <v>2.4340982693178255</v>
      </c>
      <c r="CM4" s="22">
        <f>100*Monatswerte!CM4/Erwerbspersonen!$C5</f>
        <v>2.1652679597450986</v>
      </c>
      <c r="CN4" s="22">
        <f>100*Monatswerte!CN4/Erwerbspersonen!$C5</f>
        <v>2.1381063481561444</v>
      </c>
      <c r="CO4" s="22">
        <f>100*Monatswerte!CO4/Erwerbspersonen!$C5</f>
        <v>2.1193021555176377</v>
      </c>
      <c r="CP4" s="22">
        <f>100*Monatswerte!CP4/Erwerbspersonen!$C5</f>
        <v>2.2439669881951456</v>
      </c>
      <c r="CQ4" s="22">
        <f>100*Monatswerte!CQ4/Erwerbspersonen!$C5</f>
        <v>2.1617857018490789</v>
      </c>
      <c r="CR4" s="22">
        <f>100*Monatswerte!CR4/Erwerbspersonen!$C5</f>
        <v>2.145767315527388</v>
      </c>
      <c r="CS4" s="22">
        <f>100*Monatswerte!CS4/Erwerbspersonen!$C5</f>
        <v>2.2746108576801198</v>
      </c>
      <c r="CT4" s="28">
        <f>100*Monatswerte!CT4/Erwerbspersonen!$C5</f>
        <v>2.4849392345997146</v>
      </c>
      <c r="CU4" s="22">
        <f>100*Monatswerte!CU4/Erwerbspersonen!$C5</f>
        <v>2.5288156840895635</v>
      </c>
      <c r="CV4" s="22">
        <f>100*Monatswerte!CV4/Erwerbspersonen!$C5</f>
        <v>2.5392624577776228</v>
      </c>
      <c r="CW4" s="22">
        <f>100*Monatswerte!CW4/Erwerbspersonen!$C5</f>
        <v>2.3832573040359368</v>
      </c>
      <c r="CX4" s="22">
        <f>100*Monatswerte!CX4/Erwerbspersonen!$C5</f>
        <v>2.3024689208482778</v>
      </c>
      <c r="CY4" s="22">
        <f>100*Monatswerte!CY4/Erwerbspersonen!$C5</f>
        <v>2.2502350524079815</v>
      </c>
      <c r="CZ4" s="22">
        <f>100*Monatswerte!CZ4/Erwerbspersonen!$C5</f>
        <v>2.2126266671309676</v>
      </c>
      <c r="DA4" s="22">
        <f>100*Monatswerte!DA4/Erwerbspersonen!$C5</f>
        <v>2.2732179545217117</v>
      </c>
      <c r="DB4" s="22">
        <f>100*Monatswerte!DB4/Erwerbspersonen!$C5</f>
        <v>2.3999721419368321</v>
      </c>
      <c r="DC4" s="22">
        <f>100*Monatswerte!DC4/Erwerbspersonen!$C5</f>
        <v>2.3874360135111607</v>
      </c>
      <c r="DD4" s="22">
        <f>100*Monatswerte!DD4/Erwerbspersonen!$C5</f>
        <v>2.4382769787930494</v>
      </c>
      <c r="DE4" s="22">
        <f>100*Monatswerte!DE4/Erwerbspersonen!$C5</f>
        <v>2.6583556778214996</v>
      </c>
      <c r="DF4" s="28">
        <f>100*Monatswerte!DF4/Erwerbspersonen!$C5</f>
        <v>2.9271859873942265</v>
      </c>
      <c r="DG4" s="22">
        <f>100*Monatswerte!DG4/Erwerbspersonen!$C5</f>
        <v>3.0950308179823796</v>
      </c>
      <c r="DH4" s="22">
        <f>100*Monatswerte!DH4/Erwerbspersonen!$C5</f>
        <v>3.0622975937597938</v>
      </c>
      <c r="DI4" s="22">
        <f>100*Monatswerte!DI4/Erwerbspersonen!$C5</f>
        <v>2.8777379252707456</v>
      </c>
      <c r="DJ4" s="22">
        <f>100*Monatswerte!DJ4/Erwerbspersonen!$C5</f>
        <v>2.7398405125883625</v>
      </c>
      <c r="DK4" s="22">
        <f>100*Monatswerte!DK4/Erwerbspersonen!$C5</f>
        <v>2.6534805167670719</v>
      </c>
      <c r="DL4" s="22">
        <f>100*Monatswerte!DL4/Erwerbspersonen!$C5</f>
        <v>2.5427447156736429</v>
      </c>
      <c r="DM4" s="22">
        <f>100*Monatswerte!DM4/Erwerbspersonen!$C5</f>
        <v>2.55806665041613</v>
      </c>
      <c r="DN4" s="22">
        <f>100*Monatswerte!DN4/Erwerbspersonen!$C5</f>
        <v>2.5650311662081693</v>
      </c>
      <c r="DO4" s="22">
        <f>100*Monatswerte!DO4/Erwerbspersonen!$C5</f>
        <v>2.4668314935404116</v>
      </c>
      <c r="DP4" s="22">
        <f>100*Monatswerte!DP4/Erwerbspersonen!$C5</f>
        <v>2.5023505240798132</v>
      </c>
      <c r="DQ4" s="22">
        <f>100*Monatswerte!DQ4/Erwerbspersonen!$C5</f>
        <v>2.6158721314900584</v>
      </c>
      <c r="DR4" s="27">
        <f>100*Monatswerte!DR4/Erwerbspersonen!$C5</f>
        <v>2.7844134136574157</v>
      </c>
      <c r="DS4" s="22">
        <f>100*Monatswerte!DS4/Erwerbspersonen!$D5</f>
        <v>2.7572459052329443</v>
      </c>
      <c r="DT4" s="22">
        <f>100*Monatswerte!DT4/Erwerbspersonen!$D5</f>
        <v>2.7298447036902567</v>
      </c>
      <c r="DU4" s="22">
        <f>100*Monatswerte!DU4/Erwerbspersonen!$D5</f>
        <v>2.6161297172881031</v>
      </c>
      <c r="DV4" s="22">
        <f>100*Monatswerte!DV4/Erwerbspersonen!$D5</f>
        <v>2.4900841901917401</v>
      </c>
      <c r="DW4" s="22">
        <f>100*Monatswerte!DW4/Erwerbspersonen!$D5</f>
        <v>2.3804793840209895</v>
      </c>
      <c r="DX4" s="22">
        <f>100*Monatswerte!DX4/Erwerbspersonen!$D5</f>
        <v>2.3119763801642703</v>
      </c>
      <c r="DY4" s="22">
        <f>100*Monatswerte!DY4/Erwerbspersonen!$D5</f>
        <v>2.3195117105885092</v>
      </c>
      <c r="DZ4" s="22">
        <f>100*Monatswerte!DZ4/Erwerbspersonen!$D5</f>
        <v>2.301015899547195</v>
      </c>
      <c r="EA4" s="22">
        <f>100*Monatswerte!EA4/Erwerbspersonen!$D5</f>
        <v>2.2551188869631935</v>
      </c>
      <c r="EB4" s="22">
        <f>100*Monatswerte!EB4/Erwerbspersonen!$D5</f>
        <v>2.2318278656519088</v>
      </c>
      <c r="EC4" s="22">
        <f>100*Monatswerte!EC4/Erwerbspersonen!$D5</f>
        <v>2.2955356592386575</v>
      </c>
      <c r="ED4" s="22">
        <f>100*Monatswerte!ED4/Erwerbspersonen!$D5</f>
        <v>2.5537919837784888</v>
      </c>
      <c r="EE4" s="26">
        <f>100*Monatswerte!EE4/Erwerbspersonen!$D5</f>
        <v>2.5880434857068484</v>
      </c>
      <c r="EF4" s="22">
        <f>100*Monatswerte!EF4/Erwerbspersonen!$D5</f>
        <v>2.5948937860925203</v>
      </c>
      <c r="EG4" s="22">
        <f>100*Monatswerte!EG4/Erwerbspersonen!$D5</f>
        <v>2.5476267134313839</v>
      </c>
      <c r="EH4" s="22">
        <f>100*Monatswerte!EH4/Erwerbspersonen!$D5</f>
        <v>2.5243356921200997</v>
      </c>
      <c r="EI4" s="22">
        <f>100*Monatswerte!EI4/Erwerbspersonen!$D5</f>
        <v>2.4400769973763348</v>
      </c>
      <c r="EJ4" s="22">
        <f>100*Monatswerte!EJ4/Erwerbspersonen!$D5</f>
        <v>2.458572808417649</v>
      </c>
      <c r="EK4" s="22">
        <f>100*Monatswerte!EK4/Erwerbspersonen!$D5</f>
        <v>2.5709177347426686</v>
      </c>
      <c r="EL4" s="22">
        <f>100*Monatswerte!EL4/Erwerbspersonen!$D5</f>
        <v>2.6654518800649409</v>
      </c>
      <c r="EM4" s="22">
        <f>100*Monatswerte!EM4/Erwerbspersonen!$D5</f>
        <v>2.6065392967481622</v>
      </c>
      <c r="EN4" s="22">
        <f>100*Monatswerte!EN4/Erwerbspersonen!$D5</f>
        <v>2.6394207385993878</v>
      </c>
      <c r="EO4" s="22">
        <f>100*Monatswerte!EO4/Erwerbspersonen!$D5</f>
        <v>2.8134183683954541</v>
      </c>
      <c r="EP4" s="22">
        <f>100*Monatswerte!EP4/Erwerbspersonen!$D5</f>
        <v>3.1518232074476464</v>
      </c>
      <c r="EQ4" s="26">
        <f>100*Monatswerte!EQ4/Erwerbspersonen!$D5</f>
        <v>3.1730591386432296</v>
      </c>
      <c r="ER4" s="22">
        <f>100*Monatswerte!ER4/Erwerbspersonen!$D5</f>
        <v>3.1196267956349888</v>
      </c>
      <c r="ES4" s="22">
        <f>100*Monatswerte!ES4/Erwerbspersonen!$D5</f>
        <v>3.0483836716240007</v>
      </c>
      <c r="ET4" s="22">
        <f>100*Monatswerte!ET4/Erwerbspersonen!$D5</f>
        <v>2.9326135951061456</v>
      </c>
      <c r="EU4" s="22">
        <f>100*Monatswerte!EU4/Erwerbspersonen!$D5</f>
        <v>2.8695908315579639</v>
      </c>
      <c r="EV4" s="22">
        <f>100*Monatswerte!EV4/Erwerbspersonen!$D5</f>
        <v>2.7490255447701384</v>
      </c>
      <c r="EW4" s="22">
        <f>100*Monatswerte!EW4/Erwerbspersonen!$D5</f>
        <v>2.7147740428417788</v>
      </c>
      <c r="EX4" s="22">
        <f>100*Monatswerte!EX4/Erwerbspersonen!$D5</f>
        <v>2.8647956212879935</v>
      </c>
      <c r="EY4" s="22">
        <f>100*Monatswerte!EY4/Erwerbspersonen!$D5</f>
        <v>2.8908267627535467</v>
      </c>
      <c r="EZ4" s="22">
        <f>100*Monatswerte!EZ4/Erwerbspersonen!$D5</f>
        <v>2.8990471232163531</v>
      </c>
      <c r="FA4" s="22">
        <f>100*Monatswerte!FA4/Erwerbspersonen!$D5</f>
        <v>3.0004315689242973</v>
      </c>
      <c r="FB4" s="28">
        <f>100*Monatswerte!FB4/Erwerbspersonen!$D5</f>
        <v>3.2052555504558873</v>
      </c>
      <c r="FC4" s="22">
        <f>100*Monatswerte!FC4/Erwerbspersonen!$E5</f>
        <v>3.1506312552715294</v>
      </c>
      <c r="FD4" s="22">
        <f>100*Monatswerte!FD4/Erwerbspersonen!$E5</f>
        <v>3.0563248391145823</v>
      </c>
      <c r="FE4" s="22">
        <f>100*Monatswerte!FE4/Erwerbspersonen!$E5</f>
        <v>2.9354532353077909</v>
      </c>
      <c r="FF4" s="22">
        <f>100*Monatswerte!FF4/Erwerbspersonen!$E5</f>
        <v>2.8431392082245819</v>
      </c>
      <c r="FG4" s="22">
        <f>100*Monatswerte!FG4/Erwerbspersonen!$E5</f>
        <v>2.7056643621366381</v>
      </c>
      <c r="FH4" s="22">
        <f>100*Monatswerte!FH4/Erwerbspersonen!$E5</f>
        <v>2.5635406082099714</v>
      </c>
      <c r="FI4" s="22">
        <f>100*Monatswerte!FI4/Erwerbspersonen!$E5</f>
        <v>2.5901057958598157</v>
      </c>
      <c r="FJ4" s="22">
        <f>100*Monatswerte!FJ4/Erwerbspersonen!$E5</f>
        <v>2.6253046694958591</v>
      </c>
      <c r="FK4" s="22">
        <f>100*Monatswerte!FK4/Erwerbspersonen!$E5</f>
        <v>2.524356956426451</v>
      </c>
      <c r="FL4" s="22">
        <f>100*Monatswerte!FL4/Erwerbspersonen!$E5</f>
        <v>2.5117384922927748</v>
      </c>
      <c r="FM4" s="22">
        <f>100*Monatswerte!FM4/Erwerbspersonen!$E5</f>
        <v>2.5695177754311862</v>
      </c>
      <c r="FN4" s="22">
        <f>100*Monatswerte!FN4/Erwerbspersonen!$E5</f>
        <v>2.7846957953949247</v>
      </c>
      <c r="FO4" s="26">
        <f>100*Monatswerte!FO4/Erwerbspersonen!$E5</f>
        <v>2.7627795155838033</v>
      </c>
      <c r="FP4" s="22">
        <f>100*Monatswerte!FP4/Erwerbspersonen!$E5</f>
        <v>2.6910535089292238</v>
      </c>
      <c r="FQ4" s="22">
        <f>100*Monatswerte!FQ4/Erwerbspersonen!$E5</f>
        <v>2.7196110856528062</v>
      </c>
      <c r="FR4" s="22">
        <f>100*Monatswerte!FR4/Erwerbspersonen!$E5</f>
        <v>2.4127831682971053</v>
      </c>
      <c r="FS4" s="22">
        <f>100*Monatswerte!FS4/Erwerbspersonen!$E5</f>
        <v>2.1683834419185377</v>
      </c>
      <c r="FT4" s="22">
        <f>100*Monatswerte!FT4/Erwerbspersonen!$E5</f>
        <v>2.0508324865679768</v>
      </c>
      <c r="FU4" s="22">
        <f>100*Monatswerte!FU4/Erwerbspersonen!$E5</f>
        <v>1.9864119065171046</v>
      </c>
      <c r="FV4" s="22">
        <f>100*Monatswerte!FV4/Erwerbspersonen!$E5</f>
        <v>2.024267298918133</v>
      </c>
      <c r="FW4" s="22">
        <f>100*Monatswerte!FW4/Erwerbspersonen!$E5</f>
        <v>1.9897325549733351</v>
      </c>
      <c r="FX4" s="22">
        <f>100*Monatswerte!FX4/Erwerbspersonen!$E5</f>
        <v>1.9027315654200951</v>
      </c>
      <c r="FY4" s="22">
        <f>100*Monatswerte!FY4/Erwerbspersonen!$E5</f>
        <v>1.9160141592450173</v>
      </c>
      <c r="FZ4" s="22">
        <f>100*Monatswerte!FZ4/Erwerbspersonen!$E5</f>
        <v>2.0674357288491296</v>
      </c>
      <c r="GA4" s="26">
        <f>100*Monatswerte!GA4/Erwerbspersonen!$E5</f>
        <v>2.137169346429971</v>
      </c>
      <c r="GB4" s="22">
        <f>100*Monatswerte!GB4/Erwerbspersonen!$E5</f>
        <v>2.080718322674052</v>
      </c>
      <c r="GC4" s="22">
        <f>100*Monatswerte!GC4/Erwerbspersonen!$E5</f>
        <v>1.9771140908396592</v>
      </c>
      <c r="GD4" s="22">
        <f>100*Monatswerte!GD4/Erwerbspersonen!$E5</f>
        <v>1.8223718727793163</v>
      </c>
      <c r="GE4" s="22">
        <f>100*Monatswerte!GE4/Erwerbspersonen!$E5</f>
        <v>1.733378494152338</v>
      </c>
      <c r="GF4" s="22">
        <f>100*Monatswerte!GF4/Erwerbspersonen!$E5</f>
        <v>1.6809122485438956</v>
      </c>
      <c r="GG4" s="22">
        <f>100*Monatswerte!GG4/Erwerbspersonen!$E5</f>
        <v>1.6868894157651106</v>
      </c>
      <c r="GH4" s="22">
        <f>100*Monatswerte!GH4/Erwerbspersonen!$E5</f>
        <v>1.7459969582860142</v>
      </c>
      <c r="GI4" s="22">
        <f>100*Monatswerte!GI4/Erwerbspersonen!$E5</f>
        <v>1.781859961613304</v>
      </c>
      <c r="GJ4" s="22">
        <f>100*Monatswerte!GJ4/Erwerbspersonen!$E5</f>
        <v>1.8336620775305001</v>
      </c>
      <c r="GK4" s="22">
        <f>100*Monatswerte!GK4/Erwerbspersonen!$E5</f>
        <v>1.9259761046137089</v>
      </c>
      <c r="GL4" s="22">
        <f>100*Monatswerte!GL4/Erwerbspersonen!$E5</f>
        <v>2.1245508822962949</v>
      </c>
      <c r="GM4" s="26">
        <f>100*Monatswerte!GM4/Erwerbspersonen!$F5</f>
        <v>2.2911557512128007</v>
      </c>
      <c r="GN4" s="22">
        <f>100*Monatswerte!GN4/Erwerbspersonen!$F5</f>
        <v>2.2931743906411821</v>
      </c>
      <c r="GO4" s="22">
        <f>100*Monatswerte!GO4/Erwerbspersonen!$F5</f>
        <v>2.5959703048983802</v>
      </c>
      <c r="GP4" s="22">
        <f>100*Monatswerte!GP4/Erwerbspersonen!$F5</f>
        <v>2.8960746999177371</v>
      </c>
      <c r="GQ4" s="22">
        <f>100*Monatswerte!GQ4/Erwerbspersonen!$F5</f>
        <v>2.9916236328611197</v>
      </c>
      <c r="GR4" s="22">
        <f>100*Monatswerte!GR4/Erwerbspersonen!$F5</f>
        <v>2.9377932481042843</v>
      </c>
      <c r="GS4" s="22">
        <f>100*Monatswerte!GS4/Erwerbspersonen!$F5</f>
        <v>2.9559610029597163</v>
      </c>
      <c r="GT4" s="22">
        <f>100*Monatswerte!GT4/Erwerbspersonen!$F5</f>
        <v>3.1457131092275605</v>
      </c>
      <c r="GU4" s="22">
        <f>100*Monatswerte!GU4/Erwerbspersonen!$F5</f>
        <v>3.0824624071382791</v>
      </c>
      <c r="GV4" s="22">
        <f>100*Monatswerte!GV4/Erwerbspersonen!$F5</f>
        <v>3.0669861715206888</v>
      </c>
      <c r="GW4" s="22">
        <f>100*Monatswerte!GW4/Erwerbspersonen!$F5</f>
        <v>3.06833193113961</v>
      </c>
      <c r="GX4" s="28">
        <f>100*Monatswerte!GX4/Erwerbspersonen!$F5</f>
        <v>3.3314279366386423</v>
      </c>
      <c r="GY4" s="22">
        <f>100*Monatswerte!GY4/Erwerbspersonen!$F5</f>
        <v>3.529927480429472</v>
      </c>
      <c r="GZ4" s="22">
        <f>100*Monatswerte!GZ4/Erwerbspersonen!$F5</f>
        <v>3.527908841001091</v>
      </c>
      <c r="HA4" s="22">
        <f>100*Monatswerte!HA4/Erwerbspersonen!$F5</f>
        <v>3.2816348307385694</v>
      </c>
      <c r="HB4" s="22">
        <f>100*Monatswerte!HB4/Erwerbspersonen!$F5</f>
        <v>3.1436944697991791</v>
      </c>
      <c r="HC4" s="22">
        <f>100*Monatswerte!HC4/Erwerbspersonen!$F5</f>
        <v>2.9822033155286736</v>
      </c>
      <c r="HD4" s="22">
        <f>100*Monatswerte!HD4/Erwerbspersonen!$F5</f>
        <v>2.836188396875758</v>
      </c>
      <c r="HE4" s="22">
        <f>100*Monatswerte!HE4/Erwerbspersonen!$F5</f>
        <v>2.7487140216459003</v>
      </c>
      <c r="HF4" s="22">
        <f>100*Monatswerte!HF4/Erwerbspersonen!$F5</f>
        <v>2.7433309831702171</v>
      </c>
      <c r="HG4" s="22">
        <f>100*Monatswerte!HG4/Erwerbspersonen!$F5</f>
        <v>2.6074092616592077</v>
      </c>
      <c r="HH4" s="22">
        <f>100*Monatswerte!HH4/Erwerbspersonen!$F5</f>
        <v>2.5172433671915089</v>
      </c>
      <c r="HI4" s="22">
        <f>100*Monatswerte!HI4/Erwerbspersonen!$F5</f>
        <v>2.5434856797604661</v>
      </c>
      <c r="HJ4" s="22">
        <f>100*Monatswerte!HJ4/Erwerbspersonen!$F5</f>
        <v>2.7069954734593531</v>
      </c>
      <c r="HK4" s="61">
        <f>100*Monatswerte!HK4/Erwerbspersonen!$F5</f>
        <v>2.7460225024080587</v>
      </c>
      <c r="HL4" s="63">
        <f>100*Monatswerte!HL4/Erwerbspersonen!$F5</f>
        <v>2.6969022763174464</v>
      </c>
      <c r="HM4" s="63">
        <f>100*Monatswerte!HM4/Erwerbspersonen!$F5</f>
        <v>2.531373843190178</v>
      </c>
      <c r="HN4" s="63">
        <f>100*Monatswerte!HN4/Erwerbspersonen!$F5</f>
        <v>2.4048724390116152</v>
      </c>
      <c r="HO4" s="63">
        <f>100*Monatswerte!HO4/Erwerbspersonen!$F5</f>
        <v>2.1982983375072598</v>
      </c>
      <c r="HP4" s="63">
        <f>100*Monatswerte!HP4/Erwerbspersonen!$F5</f>
        <v>2.0643952554246323</v>
      </c>
      <c r="HQ4" s="63">
        <f>100*Monatswerte!HQ4/Erwerbspersonen!$F5</f>
        <v>2.0650681352340925</v>
      </c>
      <c r="HR4" s="63">
        <f>100*Monatswerte!HR4/Erwerbspersonen!$F5</f>
        <v>2.0771799718043806</v>
      </c>
      <c r="HS4" s="63">
        <f>100*Monatswerte!HS4/Erwerbspersonen!$F5</f>
        <v>1.9365480916271485</v>
      </c>
      <c r="HT4" s="63">
        <f>100*Monatswerte!HT4/Erwerbspersonen!$F5</f>
        <v>1.8753160289662483</v>
      </c>
      <c r="HU4" s="63">
        <f>100*Monatswerte!HU4/Erwerbspersonen!$F5</f>
        <v>1.8934837838216803</v>
      </c>
      <c r="HV4" s="65">
        <f>100*Monatswerte!HV4/Erwerbspersonen!$F5</f>
        <v>2.0684325342813947</v>
      </c>
      <c r="HW4" s="63">
        <f>100*[5]Monatswerte!HW4/[5]Erwerbspersonen!$F5</f>
        <v>2.1188985199909278</v>
      </c>
      <c r="HX4" s="63">
        <f>100*[5]Monatswerte!HX4/[5]Erwerbspersonen!$F5</f>
        <v>2.0906375679935896</v>
      </c>
      <c r="HY4" s="63">
        <f>100*[5]Monatswerte!HY4/[5]Erwerbspersonen!$F5</f>
        <v>2.0078733514299554</v>
      </c>
      <c r="HZ4" s="63">
        <f>100*[5]Monatswerte!HZ4/[5]Erwerbspersonen!$F5</f>
        <v>1.931165053151465</v>
      </c>
      <c r="IA4" s="63">
        <f>100*[5]Monatswerte!IA4/[5]Erwerbspersonen!$F5</f>
        <v>1.8786804280135505</v>
      </c>
      <c r="IB4" s="63">
        <f>100*[5]Monatswerte!IB4/[5]Erwerbspersonen!$F5</f>
        <v>1.7777484565944845</v>
      </c>
      <c r="IC4" s="63">
        <f>100*[5]Monatswerte!IC4/[5]Erwerbspersonen!$F5</f>
        <v>1.8376347596364637</v>
      </c>
      <c r="ID4" s="63">
        <f>100*[5]Monatswerte!ID4/[5]Erwerbspersonen!$F5</f>
        <v>1.9210718560095583</v>
      </c>
      <c r="IE4" s="63">
        <f>100*[5]Monatswerte!IE4/[5]Erwerbspersonen!$F5</f>
        <v>1.8955024232500617</v>
      </c>
      <c r="IF4" s="63">
        <f>100*[5]Monatswerte!IF4/[5]Erwerbspersonen!$F5</f>
        <v>1.8941566636311407</v>
      </c>
      <c r="IG4" s="63">
        <f>100*[5]Monatswerte!IG4/[5]Erwerbspersonen!$F5</f>
        <v>1.993742875431286</v>
      </c>
      <c r="IH4" s="63">
        <f>100*[5]Monatswerte!IH4/[5]Erwerbspersonen!$F5</f>
        <v>2.2171389721721524</v>
      </c>
      <c r="II4" s="61">
        <f>100*[6]Monatswerte!II4/[6]Erwerbspersonen!$G5</f>
        <v>2.3165172702722878</v>
      </c>
      <c r="IJ4" s="63">
        <f>100*[6]Monatswerte!IJ4/[6]Erwerbspersonen!$G5</f>
        <v>2.2549220133748746</v>
      </c>
      <c r="IK4" s="63">
        <f>100*[6]Monatswerte!IK4/[6]Erwerbspersonen!$G5</f>
        <v>2.2134121663353135</v>
      </c>
      <c r="IL4" s="63">
        <f>100*[6]Monatswerte!IL4/[6]Erwerbspersonen!$G5</f>
        <v>2.1819450242246781</v>
      </c>
      <c r="IM4" s="63">
        <f>100*[6]Monatswerte!IM4/[6]Erwerbspersonen!$G5</f>
        <v>2.1973438384490316</v>
      </c>
      <c r="IN4" s="63">
        <f>100*[6]Monatswerte!IN4/[6]Erwerbspersonen!$G5</f>
        <v>2.2194377892926691</v>
      </c>
      <c r="IO4" s="63">
        <f>100*[6]Monatswerte!IO4/[6]Erwerbspersonen!$G5</f>
        <v>2.3339246254824264</v>
      </c>
      <c r="IP4" s="63">
        <f>100*[6]Monatswerte!IP4/[6]Erwerbspersonen!$G5</f>
        <v>2.4256479971666183</v>
      </c>
      <c r="IQ4" s="63">
        <f>100*[6]Monatswerte!IQ4/[6]Erwerbspersonen!$G5</f>
        <v>2.484565199416318</v>
      </c>
      <c r="IR4" s="63">
        <f>100*[6]Monatswerte!IR4/[6]Erwerbspersonen!$G5</f>
        <v>2.5588812158903713</v>
      </c>
      <c r="IS4" s="63">
        <f>100*[6]Monatswerte!IS4/[6]Erwerbspersonen!$G5</f>
        <v>2.667342429122773</v>
      </c>
      <c r="IT4" s="63">
        <f>100*[6]Monatswerte!IT4/[6]Erwerbspersonen!$G5</f>
        <v>2.9076978337550714</v>
      </c>
      <c r="IU4" s="61">
        <f>100*[7]Monatswerte!IU4/[7]Erwerbspersonen!$G5</f>
        <v>3.1018567957143093</v>
      </c>
      <c r="IV4" s="63">
        <f>100*[7]Monatswerte!IV4/[7]Erwerbspersonen!$G5</f>
        <v>3.1306458831772308</v>
      </c>
      <c r="IW4" s="63">
        <f>100*[7]Monatswerte!IW4/[7]Erwerbspersonen!$G5</f>
        <v>3.1219422055721613</v>
      </c>
      <c r="IX4" s="63">
        <f>100*[7]Monatswerte!IX4/[7]Erwerbspersonen!$G5</f>
        <v>3.0195066152971153</v>
      </c>
      <c r="IY4" s="63">
        <f>100*[7]Monatswerte!IY4/[7]Erwerbspersonen!$G5</f>
        <v>2.9344783802322074</v>
      </c>
      <c r="IZ4" s="63">
        <f>100*[7]Monatswerte!IZ4/[7]Erwerbspersonen!$G5</f>
        <v>2.9933955824819072</v>
      </c>
      <c r="JA4" s="63">
        <f>100*[7]Monatswerte!JA4/[7]Erwerbspersonen!$G5</f>
        <v>3.0335664021976116</v>
      </c>
      <c r="JB4" s="63">
        <f>100*[7]Monatswerte!JB4/[7]Erwerbspersonen!$G5</f>
        <v>3.1185946372625195</v>
      </c>
      <c r="JC4" s="63">
        <f>100*[7]Monatswerte!JC4/[7]Erwerbspersonen!$G5</f>
        <v>3.0918140907853831</v>
      </c>
      <c r="JD4" s="63">
        <f>100*[7]Monatswerte!JD4/[7]Erwerbspersonen!$G5</f>
        <v>3.0757457628991012</v>
      </c>
      <c r="JE4" s="63">
        <f>100*[7]Monatswerte!JE4/[7]Erwerbspersonen!$G5</f>
        <v>3.1092214459955216</v>
      </c>
      <c r="JF4" s="63">
        <f>100*[7]Monatswerte!JF4/[7]Erwerbspersonen!$G5</f>
        <v>3.3020413806309028</v>
      </c>
      <c r="JG4" s="61">
        <f>100*[7]Monatswerte!JG4/[7]Erwerbspersonen!$G5</f>
        <v>3.4901747196327855</v>
      </c>
      <c r="JH4" s="63">
        <f>100*[7]Monatswerte!JH4/[7]Erwerbspersonen!$G5</f>
        <v>3.4580380638602217</v>
      </c>
      <c r="JI4" s="63">
        <f>100*[7]Monatswerte!JI4/[7]Erwerbspersonen!$G5</f>
        <v>3.2765998614776235</v>
      </c>
    </row>
    <row r="5" spans="1:269" s="1" customFormat="1" x14ac:dyDescent="0.2">
      <c r="A5" s="1" t="s">
        <v>2</v>
      </c>
      <c r="B5" s="1">
        <v>3</v>
      </c>
      <c r="C5" s="21">
        <f>100*Monatswerte!C5/Erwerbspersonen!$B6</f>
        <v>5.8768532122345398</v>
      </c>
      <c r="D5" s="21">
        <f>100*Monatswerte!D5/Erwerbspersonen!$B6</f>
        <v>5.8741819153198875</v>
      </c>
      <c r="E5" s="21">
        <f>100*Monatswerte!E5/Erwerbspersonen!$B6</f>
        <v>5.7018832643248301</v>
      </c>
      <c r="F5" s="21">
        <f>100*Monatswerte!F5/Erwerbspersonen!$B6</f>
        <v>5.5269133164151194</v>
      </c>
      <c r="G5" s="21">
        <f>100*Monatswerte!G5/Erwerbspersonen!$B6</f>
        <v>5.3452651262187789</v>
      </c>
      <c r="H5" s="21">
        <f>100*Monatswerte!H5/Erwerbspersonen!$B6</f>
        <v>5.194336850540938</v>
      </c>
      <c r="I5" s="21">
        <f>100*Monatswerte!I5/Erwerbspersonen!$B6</f>
        <v>5.0914919193268329</v>
      </c>
      <c r="J5" s="21">
        <f>100*Monatswerte!J5/Erwerbspersonen!$B6</f>
        <v>5.176973420595699</v>
      </c>
      <c r="K5" s="21">
        <f>100*Monatswerte!K5/Erwerbspersonen!$B6</f>
        <v>5.1275544276746361</v>
      </c>
      <c r="L5" s="21">
        <f>100*Monatswerte!L5/Erwerbspersonen!$B6</f>
        <v>5.0100173634299452</v>
      </c>
      <c r="M5" s="21">
        <f>100*Monatswerte!M5/Erwerbspersonen!$B6</f>
        <v>5.227728061974088</v>
      </c>
      <c r="N5" s="27">
        <f>100*Monatswerte!N5/Erwerbspersonen!$B6</f>
        <v>5.3973554160544941</v>
      </c>
      <c r="O5" s="21">
        <f>100*Monatswerte!O5/Erwerbspersonen!$B6</f>
        <v>5.3973554160544941</v>
      </c>
      <c r="P5" s="21">
        <f>100*Monatswerte!P5/Erwerbspersonen!$B6</f>
        <v>5.4414318151462533</v>
      </c>
      <c r="Q5" s="21">
        <f>100*Monatswerte!Q5/Erwerbspersonen!$B6</f>
        <v>5.3412581808468014</v>
      </c>
      <c r="R5" s="21">
        <f>100*Monatswerte!R5/Erwerbspersonen!$B6</f>
        <v>5.1903299051689595</v>
      </c>
      <c r="S5" s="21">
        <f>100*Monatswerte!S5/Erwerbspersonen!$B6</f>
        <v>5.1195405369306801</v>
      </c>
      <c r="T5" s="21">
        <f>100*Monatswerte!T5/Erwerbspersonen!$B6</f>
        <v>5.0113530118872713</v>
      </c>
      <c r="U5" s="21">
        <f>100*Monatswerte!U5/Erwerbspersonen!$B6</f>
        <v>4.9779618004541204</v>
      </c>
      <c r="V5" s="21">
        <f>100*Monatswerte!V5/Erwerbspersonen!$B6</f>
        <v>4.9512488313076002</v>
      </c>
      <c r="W5" s="21">
        <f>100*Monatswerte!W5/Erwerbspersonen!$B6</f>
        <v>4.8831307599839722</v>
      </c>
      <c r="X5" s="21">
        <f>100*Monatswerte!X5/Erwerbspersonen!$B6</f>
        <v>4.9378923467343396</v>
      </c>
      <c r="Y5" s="21">
        <f>100*Monatswerte!Y5/Erwerbspersonen!$B6</f>
        <v>5.0273807933751833</v>
      </c>
      <c r="Z5" s="27">
        <f>100*Monatswerte!Z5/Erwerbspersonen!$B6</f>
        <v>5.0781354347535732</v>
      </c>
      <c r="AA5" s="21">
        <f>100*Monatswerte!AA5/Erwerbspersonen!$B6</f>
        <v>5.1823160144250036</v>
      </c>
      <c r="AB5" s="21">
        <f>100*Monatswerte!AB5/Erwerbspersonen!$B6</f>
        <v>5.0447442233204223</v>
      </c>
      <c r="AC5" s="21">
        <f>100*Monatswerte!AC5/Erwerbspersonen!$B6</f>
        <v>4.9766261519967943</v>
      </c>
      <c r="AD5" s="21">
        <f>100*Monatswerte!AD5/Erwerbspersonen!$B6</f>
        <v>4.7442233204220647</v>
      </c>
      <c r="AE5" s="21">
        <f>100*Monatswerte!AE5/Erwerbspersonen!$B6</f>
        <v>4.5091491919326829</v>
      </c>
      <c r="AF5" s="21">
        <f>100*Monatswerte!AF5/Erwerbspersonen!$B6</f>
        <v>4.3795912915720585</v>
      </c>
      <c r="AG5" s="21">
        <f>100*Monatswerte!AG5/Erwerbspersonen!$B6</f>
        <v>4.2967810872178447</v>
      </c>
      <c r="AH5" s="21">
        <f>100*Monatswerte!AH5/Erwerbspersonen!$B6</f>
        <v>4.2153065313209561</v>
      </c>
      <c r="AI5" s="21">
        <f>100*Monatswerte!AI5/Erwerbspersonen!$B6</f>
        <v>4.1645518899425671</v>
      </c>
      <c r="AJ5" s="21">
        <f>100*Monatswerte!AJ5/Erwerbspersonen!$B6</f>
        <v>4.0857486309603308</v>
      </c>
      <c r="AK5" s="21">
        <f>100*Monatswerte!AK5/Erwerbspersonen!$B6</f>
        <v>4.063042607185789</v>
      </c>
      <c r="AL5" s="27">
        <f>100*Monatswerte!AL5/Erwerbspersonen!$B6</f>
        <v>4.1952718044610657</v>
      </c>
      <c r="AM5" s="21">
        <f>100*Monatswerte!AM5/Erwerbspersonen!$B6</f>
        <v>4.2246560705222382</v>
      </c>
      <c r="AN5" s="21">
        <f>100*Monatswerte!AN5/Erwerbspersonen!$B6</f>
        <v>4.1859222652597836</v>
      </c>
      <c r="AO5" s="21">
        <f>100*Monatswerte!AO5/Erwerbspersonen!$B6</f>
        <v>4.0189662080940298</v>
      </c>
      <c r="AP5" s="21">
        <f>100*Monatswerte!AP5/Erwerbspersonen!$B6</f>
        <v>3.9081073861359692</v>
      </c>
      <c r="AQ5" s="21">
        <f>100*Monatswerte!AQ5/Erwerbspersonen!$B6</f>
        <v>3.7945772672632563</v>
      </c>
      <c r="AR5" s="21">
        <f>100*Monatswerte!AR5/Erwerbspersonen!$B6</f>
        <v>3.6449846400427406</v>
      </c>
      <c r="AS5" s="21">
        <f>100*Monatswerte!AS5/Erwerbspersonen!$B6</f>
        <v>3.6209429678108722</v>
      </c>
      <c r="AT5" s="21">
        <f>100*Monatswerte!AT5/Erwerbspersonen!$B6</f>
        <v>3.5541605449445708</v>
      </c>
      <c r="AU5" s="21">
        <f>100*Monatswerte!AU5/Erwerbspersonen!$B6</f>
        <v>3.4352878322425537</v>
      </c>
      <c r="AV5" s="21">
        <f>100*Monatswerte!AV5/Erwerbspersonen!$B6</f>
        <v>3.3671697609189262</v>
      </c>
      <c r="AW5" s="21">
        <f>100*Monatswerte!AW5/Erwerbspersonen!$B6</f>
        <v>3.4887137705355951</v>
      </c>
      <c r="AX5" s="27">
        <f>100*Monatswerte!AX5/Erwerbspersonen!$B6</f>
        <v>3.6049151863229598</v>
      </c>
      <c r="AY5" s="21">
        <f>100*Monatswerte!AY5/Erwerbspersonen!$C6</f>
        <v>3.4987091276755398</v>
      </c>
      <c r="AZ5" s="21">
        <f>100*Monatswerte!AZ5/Erwerbspersonen!$C6</f>
        <v>3.3804321560747308</v>
      </c>
      <c r="BA5" s="21">
        <f>100*Monatswerte!BA5/Erwerbspersonen!$C6</f>
        <v>3.2329038904221088</v>
      </c>
      <c r="BB5" s="21">
        <f>100*Monatswerte!BB5/Erwerbspersonen!$C6</f>
        <v>3.231632095028552</v>
      </c>
      <c r="BC5" s="21">
        <f>100*Monatswerte!BC5/Erwerbspersonen!$C6</f>
        <v>3.0434063767821034</v>
      </c>
      <c r="BD5" s="21">
        <f>100*Monatswerte!BD5/Erwerbspersonen!$C6</f>
        <v>2.9225858143941803</v>
      </c>
      <c r="BE5" s="21">
        <f>100*Monatswerte!BE5/Erwerbspersonen!$C6</f>
        <v>2.8678986124712256</v>
      </c>
      <c r="BF5" s="21">
        <f>100*Monatswerte!BF5/Erwerbspersonen!$C6</f>
        <v>2.9085960650650522</v>
      </c>
      <c r="BG5" s="21">
        <f>100*Monatswerte!BG5/Erwerbspersonen!$C6</f>
        <v>2.9365755637233084</v>
      </c>
      <c r="BH5" s="21">
        <f>100*Monatswerte!BH5/Erwerbspersonen!$C6</f>
        <v>3.039590990601432</v>
      </c>
      <c r="BI5" s="21">
        <f>100*Monatswerte!BI5/Erwerbspersonen!$C6</f>
        <v>3.3130270002162052</v>
      </c>
      <c r="BJ5" s="27">
        <f>100*Monatswerte!BJ5/Erwerbspersonen!$C6</f>
        <v>3.7365348662707145</v>
      </c>
      <c r="BK5" s="21">
        <f>100*Monatswerte!BK5/Erwerbspersonen!$C6</f>
        <v>4.0939093718602555</v>
      </c>
      <c r="BL5" s="21">
        <f>100*Monatswerte!BL5/Erwerbspersonen!$C6</f>
        <v>4.3457248597845579</v>
      </c>
      <c r="BM5" s="21">
        <f>100*Monatswerte!BM5/Erwerbspersonen!$C6</f>
        <v>4.6369660049091301</v>
      </c>
      <c r="BN5" s="21">
        <f>100*Monatswerte!BN5/Erwerbspersonen!$C6</f>
        <v>4.8379096770911492</v>
      </c>
      <c r="BO5" s="21">
        <f>100*Monatswerte!BO5/Erwerbspersonen!$C6</f>
        <v>4.9510994671177304</v>
      </c>
      <c r="BP5" s="21">
        <f>100*Monatswerte!BP5/Erwerbspersonen!$C6</f>
        <v>5.2372534306680745</v>
      </c>
      <c r="BQ5" s="21">
        <f>100*Monatswerte!BQ5/Erwerbspersonen!$C6</f>
        <v>5.3542586068753257</v>
      </c>
      <c r="BR5" s="21">
        <f>100*Monatswerte!BR5/Erwerbspersonen!$C6</f>
        <v>5.4102176041918373</v>
      </c>
      <c r="BS5" s="21">
        <f>100*Monatswerte!BS5/Erwerbspersonen!$C6</f>
        <v>5.5221355988248613</v>
      </c>
      <c r="BT5" s="21">
        <f>100*Monatswerte!BT5/Erwerbspersonen!$C6</f>
        <v>5.6048022994060718</v>
      </c>
      <c r="BU5" s="21">
        <f>100*Monatswerte!BU5/Erwerbspersonen!$C6</f>
        <v>5.7701357005684928</v>
      </c>
      <c r="BV5" s="27">
        <f>100*Monatswerte!BV5/Erwerbspersonen!$C6</f>
        <v>6.0728230042350786</v>
      </c>
      <c r="BW5" s="21">
        <f>100*Monatswerte!BW5/Erwerbspersonen!$C6</f>
        <v>6.1389563647000474</v>
      </c>
      <c r="BX5" s="21">
        <f>100*Monatswerte!BX5/Erwerbspersonen!$C6</f>
        <v>6.0524742779381651</v>
      </c>
      <c r="BY5" s="21">
        <f>100*Monatswerte!BY5/Erwerbspersonen!$C6</f>
        <v>5.9291101247631284</v>
      </c>
      <c r="BZ5" s="21">
        <f>100*Monatswerte!BZ5/Erwerbspersonen!$C6</f>
        <v>5.668392069083926</v>
      </c>
      <c r="CA5" s="21">
        <f>100*Monatswerte!CA5/Erwerbspersonen!$C6</f>
        <v>5.4483714659985498</v>
      </c>
      <c r="CB5" s="21">
        <f>100*Monatswerte!CB5/Erwerbspersonen!$C6</f>
        <v>5.2321662490938454</v>
      </c>
      <c r="CC5" s="21">
        <f>100*Monatswerte!CC5/Erwerbspersonen!$C6</f>
        <v>5.0960841419832379</v>
      </c>
      <c r="CD5" s="21">
        <f>100*Monatswerte!CD5/Erwerbspersonen!$C6</f>
        <v>5.0019712828600138</v>
      </c>
      <c r="CE5" s="21">
        <f>100*Monatswerte!CE5/Erwerbspersonen!$C6</f>
        <v>4.7921250429230948</v>
      </c>
      <c r="CF5" s="21">
        <f>100*Monatswerte!CF5/Erwerbspersonen!$C6</f>
        <v>4.6649455035673864</v>
      </c>
      <c r="CG5" s="21">
        <f>100*Monatswerte!CG5/Erwerbspersonen!$C6</f>
        <v>4.622976255580002</v>
      </c>
      <c r="CH5" s="27">
        <f>100*Monatswerte!CH5/Erwerbspersonen!$C6</f>
        <v>4.7692327258390668</v>
      </c>
      <c r="CI5" s="21">
        <f>100*Monatswerte!CI5/Erwerbspersonen!$C6</f>
        <v>4.712001933128998</v>
      </c>
      <c r="CJ5" s="21">
        <f>100*Monatswerte!CJ5/Erwerbspersonen!$C6</f>
        <v>4.4983403070114081</v>
      </c>
      <c r="CK5" s="21">
        <f>100*Monatswerte!CK5/Erwerbspersonen!$C6</f>
        <v>4.3088427933714026</v>
      </c>
      <c r="CL5" s="21">
        <f>100*Monatswerte!CL5/Erwerbspersonen!$C6</f>
        <v>3.9094990397944778</v>
      </c>
      <c r="CM5" s="21">
        <f>100*Monatswerte!CM5/Erwerbspersonen!$C6</f>
        <v>3.5635706927469508</v>
      </c>
      <c r="CN5" s="21">
        <f>100*Monatswerte!CN5/Erwerbspersonen!$C6</f>
        <v>3.4961655368884252</v>
      </c>
      <c r="CO5" s="21">
        <f>100*Monatswerte!CO5/Erwerbspersonen!$C6</f>
        <v>3.3053962278548625</v>
      </c>
      <c r="CP5" s="21">
        <f>100*Monatswerte!CP5/Erwerbspersonen!$C6</f>
        <v>3.4630988566559413</v>
      </c>
      <c r="CQ5" s="21">
        <f>100*Monatswerte!CQ5/Erwerbspersonen!$C6</f>
        <v>3.4732732198043981</v>
      </c>
      <c r="CR5" s="21">
        <f>100*Monatswerte!CR5/Erwerbspersonen!$C6</f>
        <v>3.4720014244108408</v>
      </c>
      <c r="CS5" s="21">
        <f>100*Monatswerte!CS5/Erwerbspersonen!$C6</f>
        <v>3.6882066413155452</v>
      </c>
      <c r="CT5" s="27">
        <f>100*Monatswerte!CT5/Erwerbspersonen!$C6</f>
        <v>3.955283673962533</v>
      </c>
      <c r="CU5" s="21">
        <f>100*Monatswerte!CU5/Erwerbspersonen!$C6</f>
        <v>4.0659298732019993</v>
      </c>
      <c r="CV5" s="21">
        <f>100*Monatswerte!CV5/Erwerbspersonen!$C6</f>
        <v>4.0722888501697847</v>
      </c>
      <c r="CW5" s="21">
        <f>100*Monatswerte!CW5/Erwerbspersonen!$C6</f>
        <v>3.9463811062076335</v>
      </c>
      <c r="CX5" s="21">
        <f>100*Monatswerte!CX5/Erwerbspersonen!$C6</f>
        <v>3.8560836332650803</v>
      </c>
      <c r="CY5" s="21">
        <f>100*Monatswerte!CY5/Erwerbspersonen!$C6</f>
        <v>3.7441656386320568</v>
      </c>
      <c r="CZ5" s="21">
        <f>100*Monatswerte!CZ5/Erwerbspersonen!$C6</f>
        <v>3.6589553472637322</v>
      </c>
      <c r="DA5" s="21">
        <f>100*Monatswerte!DA5/Erwerbspersonen!$C6</f>
        <v>3.6398784163603759</v>
      </c>
      <c r="DB5" s="21">
        <f>100*Monatswerte!DB5/Erwerbspersonen!$C6</f>
        <v>3.7238169123351437</v>
      </c>
      <c r="DC5" s="21">
        <f>100*Monatswerte!DC5/Erwerbspersonen!$C6</f>
        <v>3.6971092090704447</v>
      </c>
      <c r="DD5" s="21">
        <f>100*Monatswerte!DD5/Erwerbspersonen!$C6</f>
        <v>3.7823195004387693</v>
      </c>
      <c r="DE5" s="21">
        <f>100*Monatswerte!DE5/Erwerbspersonen!$C6</f>
        <v>4.0621144870213284</v>
      </c>
      <c r="DF5" s="27">
        <f>100*Monatswerte!DF5/Erwerbspersonen!$C6</f>
        <v>4.3978684709203986</v>
      </c>
      <c r="DG5" s="21">
        <f>100*Monatswerte!DG5/Erwerbspersonen!$C6</f>
        <v>4.5504839181472487</v>
      </c>
      <c r="DH5" s="21">
        <f>100*Monatswerte!DH5/Erwerbspersonen!$C6</f>
        <v>4.5326787826374497</v>
      </c>
      <c r="DI5" s="21">
        <f>100*Monatswerte!DI5/Erwerbspersonen!$C6</f>
        <v>4.4067710386752976</v>
      </c>
      <c r="DJ5" s="21">
        <f>100*Monatswerte!DJ5/Erwerbspersonen!$C6</f>
        <v>4.2579709776291192</v>
      </c>
      <c r="DK5" s="21">
        <f>100*Monatswerte!DK5/Erwerbspersonen!$C6</f>
        <v>4.1422375968154244</v>
      </c>
      <c r="DL5" s="21">
        <f>100*Monatswerte!DL5/Erwerbspersonen!$C6</f>
        <v>4.0048836943112596</v>
      </c>
      <c r="DM5" s="21">
        <f>100*Monatswerte!DM5/Erwerbspersonen!$C6</f>
        <v>4.0582991008406566</v>
      </c>
      <c r="DN5" s="21">
        <f>100*Monatswerte!DN5/Erwerbspersonen!$C6</f>
        <v>3.9476529016011903</v>
      </c>
      <c r="DO5" s="21">
        <f>100*Monatswerte!DO5/Erwerbspersonen!$C6</f>
        <v>3.9005964720395783</v>
      </c>
      <c r="DP5" s="21">
        <f>100*Monatswerte!DP5/Erwerbspersonen!$C6</f>
        <v>4.0493965330857575</v>
      </c>
      <c r="DQ5" s="21">
        <f>100*Monatswerte!DQ5/Erwerbspersonen!$C6</f>
        <v>4.2261760927901921</v>
      </c>
      <c r="DR5" s="27">
        <f>100*Monatswerte!DR5/Erwerbspersonen!$C6</f>
        <v>4.4538274682369101</v>
      </c>
      <c r="DS5" s="21">
        <f>100*Monatswerte!DS5/Erwerbspersonen!$D6</f>
        <v>4.3528064146620844</v>
      </c>
      <c r="DT5" s="21">
        <f>100*Monatswerte!DT5/Erwerbspersonen!$D6</f>
        <v>4.2659516886321009</v>
      </c>
      <c r="DU5" s="21">
        <f>100*Monatswerte!DU5/Erwerbspersonen!$D6</f>
        <v>4.1539216796948759</v>
      </c>
      <c r="DV5" s="21">
        <f>100*Monatswerte!DV5/Erwerbspersonen!$D6</f>
        <v>4.010422567123598</v>
      </c>
      <c r="DW5" s="21">
        <f>100*Monatswerte!DW5/Erwerbspersonen!$D6</f>
        <v>3.8820286242966655</v>
      </c>
      <c r="DX5" s="21">
        <f>100*Monatswerte!DX5/Erwerbspersonen!$D6</f>
        <v>3.7825862568130608</v>
      </c>
      <c r="DY5" s="21">
        <f>100*Monatswerte!DY5/Erwerbspersonen!$D6</f>
        <v>3.7322356909985777</v>
      </c>
      <c r="DZ5" s="21">
        <f>100*Monatswerte!DZ5/Erwerbspersonen!$D6</f>
        <v>3.6076180406077314</v>
      </c>
      <c r="EA5" s="21">
        <f>100*Monatswerte!EA5/Erwerbspersonen!$D6</f>
        <v>3.5786664652644036</v>
      </c>
      <c r="EB5" s="21">
        <f>100*Monatswerte!EB5/Erwerbspersonen!$D6</f>
        <v>3.5899953425726623</v>
      </c>
      <c r="EC5" s="21">
        <f>100*Monatswerte!EC5/Erwerbspersonen!$D6</f>
        <v>3.7762924360862504</v>
      </c>
      <c r="ED5" s="21">
        <f>100*Monatswerte!ED5/Erwerbspersonen!$D6</f>
        <v>4.0846896516999607</v>
      </c>
      <c r="EE5" s="25">
        <f>100*Monatswerte!EE5/Erwerbspersonen!$D6</f>
        <v>4.1136412270432885</v>
      </c>
      <c r="EF5" s="21">
        <f>100*Monatswerte!EF5/Erwerbspersonen!$D6</f>
        <v>4.1035711138803919</v>
      </c>
      <c r="EG5" s="21">
        <f>100*Monatswerte!EG5/Erwerbspersonen!$D6</f>
        <v>4.1161587553340127</v>
      </c>
      <c r="EH5" s="21">
        <f>100*Monatswerte!EH5/Erwerbspersonen!$D6</f>
        <v>4.1098649346072023</v>
      </c>
      <c r="EI5" s="21">
        <f>100*Monatswerte!EI5/Erwerbspersonen!$D6</f>
        <v>4.0079050388328739</v>
      </c>
      <c r="EJ5" s="21">
        <f>100*Monatswerte!EJ5/Erwerbspersonen!$D6</f>
        <v>4.0154576237050463</v>
      </c>
      <c r="EK5" s="21">
        <f>100*Monatswerte!EK5/Erwerbspersonen!$D6</f>
        <v>4.0632906612288053</v>
      </c>
      <c r="EL5" s="21">
        <f>100*Monatswerte!EL5/Erwerbspersonen!$D6</f>
        <v>4.0872071799906848</v>
      </c>
      <c r="EM5" s="21">
        <f>100*Monatswerte!EM5/Erwerbspersonen!$D6</f>
        <v>4.1035711138803919</v>
      </c>
      <c r="EN5" s="21">
        <f>100*Monatswerte!EN5/Erwerbspersonen!$D6</f>
        <v>4.1992371889279108</v>
      </c>
      <c r="EO5" s="21">
        <f>100*Monatswerte!EO5/Erwerbspersonen!$D6</f>
        <v>4.5831602532633458</v>
      </c>
      <c r="EP5" s="21">
        <f>100*Monatswerte!EP5/Erwerbspersonen!$D6</f>
        <v>4.8827461198595223</v>
      </c>
      <c r="EQ5" s="25">
        <f>100*Monatswerte!EQ5/Erwerbspersonen!$D6</f>
        <v>4.9054038744760398</v>
      </c>
      <c r="ER5" s="21">
        <f>100*Monatswerte!ER5/Erwerbspersonen!$D6</f>
        <v>4.9683420817441437</v>
      </c>
      <c r="ES5" s="21">
        <f>100*Monatswerte!ES5/Erwerbspersonen!$D6</f>
        <v>4.9016275820399535</v>
      </c>
      <c r="ET5" s="21">
        <f>100*Monatswerte!ET5/Erwerbspersonen!$D6</f>
        <v>4.7895975731027276</v>
      </c>
      <c r="EU5" s="21">
        <f>100*Monatswerte!EU5/Erwerbspersonen!$D6</f>
        <v>4.683861384892313</v>
      </c>
      <c r="EV5" s="21">
        <f>100*Monatswerte!EV5/Erwerbspersonen!$D6</f>
        <v>4.6398046398046402</v>
      </c>
      <c r="EW5" s="21">
        <f>100*Monatswerte!EW5/Erwerbspersonen!$D6</f>
        <v>4.5340684515942247</v>
      </c>
      <c r="EX5" s="21">
        <f>100*Monatswerte!EX5/Erwerbspersonen!$D6</f>
        <v>4.6259582342056573</v>
      </c>
      <c r="EY5" s="21">
        <f>100*Monatswerte!EY5/Erwerbspersonen!$D6</f>
        <v>4.6763088000201405</v>
      </c>
      <c r="EZ5" s="21">
        <f>100*Monatswerte!EZ5/Erwerbspersonen!$D6</f>
        <v>4.7241418375438995</v>
      </c>
      <c r="FA5" s="21">
        <f>100*Monatswerte!FA5/Erwerbspersonen!$D6</f>
        <v>4.9683420817441437</v>
      </c>
      <c r="FB5" s="27">
        <f>100*Monatswerte!FB5/Erwerbspersonen!$D6</f>
        <v>5.1936608637639567</v>
      </c>
      <c r="FC5" s="21">
        <f>100*Monatswerte!FC5/Erwerbspersonen!$E6</f>
        <v>5.0811885562796864</v>
      </c>
      <c r="FD5" s="21">
        <f>100*Monatswerte!FD5/Erwerbspersonen!$E6</f>
        <v>5.0370043079642111</v>
      </c>
      <c r="FE5" s="21">
        <f>100*Monatswerte!FE5/Erwerbspersonen!$E6</f>
        <v>4.9228616664825653</v>
      </c>
      <c r="FF5" s="21">
        <f>100*Monatswerte!FF5/Erwerbspersonen!$E6</f>
        <v>4.7068497858291298</v>
      </c>
      <c r="FG5" s="21">
        <f>100*Monatswerte!FG5/Erwerbspersonen!$E6</f>
        <v>4.5828884224996012</v>
      </c>
      <c r="FH5" s="21">
        <f>100*Monatswerte!FH5/Erwerbspersonen!$E6</f>
        <v>4.461381739632043</v>
      </c>
      <c r="FI5" s="21">
        <f>100*Monatswerte!FI5/Erwerbspersonen!$E6</f>
        <v>4.4822465235587954</v>
      </c>
      <c r="FJ5" s="21">
        <f>100*Monatswerte!FJ5/Erwerbspersonen!$E6</f>
        <v>4.3693312223081362</v>
      </c>
      <c r="FK5" s="21">
        <f>100*Monatswerte!FK5/Erwerbspersonen!$E6</f>
        <v>4.3681038820771505</v>
      </c>
      <c r="FL5" s="21">
        <f>100*Monatswerte!FL5/Erwerbspersonen!$E6</f>
        <v>4.3681038820771505</v>
      </c>
      <c r="FM5" s="21">
        <f>100*Monatswerte!FM5/Erwerbspersonen!$E6</f>
        <v>4.5632509788038345</v>
      </c>
      <c r="FN5" s="21">
        <f>100*Monatswerte!FN5/Erwerbspersonen!$E6</f>
        <v>4.6872123421333631</v>
      </c>
      <c r="FO5" s="25">
        <f>100*Monatswerte!FO5/Erwerbspersonen!$E6</f>
        <v>4.6000711857333973</v>
      </c>
      <c r="FP5" s="21">
        <f>100*Monatswerte!FP5/Erwerbspersonen!$E6</f>
        <v>4.4785645028658392</v>
      </c>
      <c r="FQ5" s="21">
        <f>100*Monatswerte!FQ5/Erwerbspersonen!$E6</f>
        <v>4.4233341924714953</v>
      </c>
      <c r="FR5" s="21">
        <f>100*Monatswerte!FR5/Erwerbspersonen!$E6</f>
        <v>4.2355511371307237</v>
      </c>
      <c r="FS5" s="21">
        <f>100*Monatswerte!FS5/Erwerbspersonen!$E6</f>
        <v>4.0170845760153169</v>
      </c>
      <c r="FT5" s="21">
        <f>100*Monatswerte!FT5/Erwerbspersonen!$E6</f>
        <v>3.8268468402125753</v>
      </c>
      <c r="FU5" s="21">
        <f>100*Monatswerte!FU5/Erwerbspersonen!$E6</f>
        <v>3.81211875744075</v>
      </c>
      <c r="FV5" s="21">
        <f>100*Monatswerte!FV5/Erwerbspersonen!$E6</f>
        <v>3.7384783435816242</v>
      </c>
      <c r="FW5" s="21">
        <f>100*Monatswerte!FW5/Erwerbspersonen!$E6</f>
        <v>3.6574738883365856</v>
      </c>
      <c r="FX5" s="21">
        <f>100*Monatswerte!FX5/Erwerbspersonen!$E6</f>
        <v>3.7077948378069885</v>
      </c>
      <c r="FY5" s="21">
        <f>100*Monatswerte!FY5/Erwerbspersonen!$E6</f>
        <v>3.9508082035421039</v>
      </c>
      <c r="FZ5" s="21">
        <f>100*Monatswerte!FZ5/Erwerbspersonen!$E6</f>
        <v>4.0968616910293703</v>
      </c>
      <c r="GA5" s="25">
        <f>100*Monatswerte!GA5/Erwerbspersonen!$E6</f>
        <v>4.1091350933392246</v>
      </c>
      <c r="GB5" s="21">
        <f>100*Monatswerte!GB5/Erwerbspersonen!$E6</f>
        <v>4.052677442713895</v>
      </c>
      <c r="GC5" s="21">
        <f>100*Monatswerte!GC5/Erwerbspersonen!$E6</f>
        <v>3.9532628840040749</v>
      </c>
      <c r="GD5" s="21">
        <f>100*Monatswerte!GD5/Erwerbspersonen!$E6</f>
        <v>3.7912539735139976</v>
      </c>
      <c r="GE5" s="21">
        <f>100*Monatswerte!GE5/Erwerbspersonen!$E6</f>
        <v>3.6476551664887022</v>
      </c>
      <c r="GF5" s="21">
        <f>100*Monatswerte!GF5/Erwerbspersonen!$E6</f>
        <v>3.5776967733225327</v>
      </c>
      <c r="GG5" s="21">
        <f>100*Monatswerte!GG5/Erwerbspersonen!$E6</f>
        <v>3.5776967733225327</v>
      </c>
      <c r="GH5" s="21">
        <f>100*Monatswerte!GH5/Erwerbspersonen!$E6</f>
        <v>3.5016016790014359</v>
      </c>
      <c r="GI5" s="21">
        <f>100*Monatswerte!GI5/Erwerbspersonen!$E6</f>
        <v>3.5433312468549407</v>
      </c>
      <c r="GJ5" s="21">
        <f>100*Monatswerte!GJ5/Erwerbspersonen!$E6</f>
        <v>3.6820206929562942</v>
      </c>
      <c r="GK5" s="21">
        <f>100*Monatswerte!GK5/Erwerbspersonen!$E6</f>
        <v>3.9115333161505701</v>
      </c>
      <c r="GL5" s="21">
        <f>100*Monatswerte!GL5/Erwerbspersonen!$E6</f>
        <v>4.1275451968040064</v>
      </c>
      <c r="GM5" s="25">
        <f>100*Monatswerte!GM5/Erwerbspersonen!$F6</f>
        <v>4.2397166797485415</v>
      </c>
      <c r="GN5" s="21">
        <f>100*Monatswerte!GN5/Erwerbspersonen!$F6</f>
        <v>4.1215320892039076</v>
      </c>
      <c r="GO5" s="21">
        <f>100*Monatswerte!GO5/Erwerbspersonen!$F6</f>
        <v>4.5382882769139314</v>
      </c>
      <c r="GP5" s="21">
        <f>100*Monatswerte!GP5/Erwerbspersonen!$F6</f>
        <v>4.8853777586186977</v>
      </c>
      <c r="GQ5" s="21">
        <f>100*Monatswerte!GQ5/Erwerbspersonen!$F6</f>
        <v>5.0160028323785557</v>
      </c>
      <c r="GR5" s="21">
        <f>100*Monatswerte!GR5/Erwerbspersonen!$F6</f>
        <v>5.0993540699205608</v>
      </c>
      <c r="GS5" s="21">
        <f>100*Monatswerte!GS5/Erwerbspersonen!$F6</f>
        <v>5.3058660912932893</v>
      </c>
      <c r="GT5" s="21">
        <f>100*Monatswerte!GT5/Erwerbspersonen!$F6</f>
        <v>5.282229173184362</v>
      </c>
      <c r="GU5" s="21">
        <f>100*Monatswerte!GU5/Erwerbspersonen!$F6</f>
        <v>5.3071101396148119</v>
      </c>
      <c r="GV5" s="21">
        <f>100*Monatswerte!GV5/Erwerbspersonen!$F6</f>
        <v>5.3991697154074734</v>
      </c>
      <c r="GW5" s="21">
        <f>100*Monatswerte!GW5/Erwerbspersonen!$F6</f>
        <v>5.6853008293576393</v>
      </c>
      <c r="GX5" s="27">
        <f>100*Monatswerte!GX5/Erwerbspersonen!$F6</f>
        <v>5.950283121841923</v>
      </c>
      <c r="GY5" s="21">
        <f>100*Monatswerte!GY5/Erwerbspersonen!$F6</f>
        <v>5.9229140587684288</v>
      </c>
      <c r="GZ5" s="21">
        <f>100*Monatswerte!GZ5/Erwerbspersonen!$F6</f>
        <v>5.8806164158366654</v>
      </c>
      <c r="HA5" s="21">
        <f>100*Monatswerte!HA5/Erwerbspersonen!$F6</f>
        <v>5.7686520668996444</v>
      </c>
      <c r="HB5" s="21">
        <f>100*Monatswerte!HB5/Erwerbspersonen!$F6</f>
        <v>5.5957293502080221</v>
      </c>
      <c r="HC5" s="21">
        <f>100*Monatswerte!HC5/Erwerbspersonen!$F6</f>
        <v>5.4315149717670579</v>
      </c>
      <c r="HD5" s="21">
        <f>100*Monatswerte!HD5/Erwerbspersonen!$F6</f>
        <v>5.2498839168247784</v>
      </c>
      <c r="HE5" s="21">
        <f>100*Monatswerte!HE5/Erwerbspersonen!$F6</f>
        <v>5.0122706874139888</v>
      </c>
      <c r="HF5" s="21">
        <f>100*Monatswerte!HF5/Erwerbspersonen!$F6</f>
        <v>4.9027944351200121</v>
      </c>
      <c r="HG5" s="21">
        <f>100*Monatswerte!HG5/Erwerbspersonen!$F6</f>
        <v>4.7958062794690806</v>
      </c>
      <c r="HH5" s="21">
        <f>100*Monatswerte!HH5/Erwerbspersonen!$F6</f>
        <v>4.7124550419270763</v>
      </c>
      <c r="HI5" s="21">
        <f>100*Monatswerte!HI5/Erwerbspersonen!$F6</f>
        <v>4.8331277291147545</v>
      </c>
      <c r="HJ5" s="21">
        <f>100*Monatswerte!HJ5/Erwerbspersonen!$F6</f>
        <v>4.97743733441136</v>
      </c>
      <c r="HK5" s="60">
        <f>100*Monatswerte!HK5/Erwerbspersonen!$F6</f>
        <v>4.8791575170110857</v>
      </c>
      <c r="HL5" s="3">
        <f>100*Monatswerte!HL5/Erwerbspersonen!$F6</f>
        <v>4.8194431975780079</v>
      </c>
      <c r="HM5" s="3">
        <f>100*Monatswerte!HM5/Erwerbspersonen!$F6</f>
        <v>4.670157398995312</v>
      </c>
      <c r="HN5" s="3">
        <f>100*Monatswerte!HN5/Erwerbspersonen!$F6</f>
        <v>4.3890024783312365</v>
      </c>
      <c r="HO5" s="3">
        <f>100*Monatswerte!HO5/Erwerbspersonen!$F6</f>
        <v>4.1352166207406551</v>
      </c>
      <c r="HP5" s="3">
        <f>100*Monatswerte!HP5/Erwerbspersonen!$F6</f>
        <v>3.964782000692078</v>
      </c>
      <c r="HQ5" s="3">
        <f>100*Monatswerte!HQ5/Erwerbspersonen!$F6</f>
        <v>3.8441093135043993</v>
      </c>
      <c r="HR5" s="3">
        <f>100*Monatswerte!HR5/Erwerbspersonen!$F6</f>
        <v>3.6736746934558226</v>
      </c>
      <c r="HS5" s="3">
        <f>100*Monatswerte!HS5/Erwerbspersonen!$F6</f>
        <v>3.490799590192021</v>
      </c>
      <c r="HT5" s="3">
        <f>100*Monatswerte!HT5/Erwerbspersonen!$F6</f>
        <v>3.5131924599794253</v>
      </c>
      <c r="HU5" s="3">
        <f>100*Monatswerte!HU5/Erwerbspersonen!$F6</f>
        <v>3.6077401324151319</v>
      </c>
      <c r="HV5" s="64">
        <f>100*Monatswerte!HV5/Erwerbspersonen!$F6</f>
        <v>3.6898473216356145</v>
      </c>
      <c r="HW5" s="3">
        <f>100*[5]Monatswerte!HW5/[5]Erwerbspersonen!$F6</f>
        <v>3.6637223068836429</v>
      </c>
      <c r="HX5" s="3">
        <f>100*[5]Monatswerte!HX5/[5]Erwerbspersonen!$F6</f>
        <v>3.6525258719899405</v>
      </c>
      <c r="HY5" s="3">
        <f>100*[5]Monatswerte!HY5/[5]Erwerbspersonen!$F6</f>
        <v>3.5492698613035767</v>
      </c>
      <c r="HZ5" s="3">
        <f>100*[5]Monatswerte!HZ5/[5]Erwerbspersonen!$F6</f>
        <v>3.4124245459361058</v>
      </c>
      <c r="IA5" s="3">
        <f>100*[5]Monatswerte!IA5/[5]Erwerbspersonen!$F6</f>
        <v>3.3564423714675953</v>
      </c>
      <c r="IB5" s="3">
        <f>100*[5]Monatswerte!IB5/[5]Erwerbspersonen!$F6</f>
        <v>3.2594066023888435</v>
      </c>
      <c r="IC5" s="3">
        <f>100*[5]Monatswerte!IC5/[5]Erwerbspersonen!$F6</f>
        <v>3.3228530667864891</v>
      </c>
      <c r="ID5" s="3">
        <f>100*[5]Monatswerte!ID5/[5]Erwerbspersonen!$F6</f>
        <v>3.3216090184649665</v>
      </c>
      <c r="IE5" s="3">
        <f>100*[5]Monatswerte!IE5/[5]Erwerbspersonen!$F6</f>
        <v>3.2668708923179781</v>
      </c>
      <c r="IF5" s="3">
        <f>100*[5]Monatswerte!IF5/[5]Erwerbspersonen!$F6</f>
        <v>3.447257898938735</v>
      </c>
      <c r="IG5" s="3">
        <f>100*[5]Monatswerte!IG5/[5]Erwerbspersonen!$F6</f>
        <v>3.7097520947799736</v>
      </c>
      <c r="IH5" s="3">
        <f>100*[5]Monatswerte!IH5/[5]Erwerbspersonen!$F6</f>
        <v>3.8391331202183094</v>
      </c>
      <c r="II5" s="60">
        <f>100*[6]Monatswerte!II5/[6]Erwerbspersonen!$G6</f>
        <v>3.9572338501783246</v>
      </c>
      <c r="IJ5" s="3">
        <f>100*[6]Monatswerte!IJ5/[6]Erwerbspersonen!$G6</f>
        <v>3.9856764684764814</v>
      </c>
      <c r="IK5" s="3">
        <f>100*[6]Monatswerte!IK5/[6]Erwerbspersonen!$G6</f>
        <v>3.9473407655528789</v>
      </c>
      <c r="IL5" s="3">
        <f>100*[6]Monatswerte!IL5/[6]Erwerbspersonen!$G6</f>
        <v>3.9696002059601319</v>
      </c>
      <c r="IM5" s="3">
        <f>100*[6]Monatswerte!IM5/[6]Erwerbspersonen!$G6</f>
        <v>4.0215389002437227</v>
      </c>
      <c r="IN5" s="3">
        <f>100*[6]Monatswerte!IN5/[6]Erwerbspersonen!$G6</f>
        <v>4.0969736705127469</v>
      </c>
      <c r="IO5" s="3">
        <f>100*[6]Monatswerte!IO5/[6]Erwerbspersonen!$G6</f>
        <v>4.1649886273126864</v>
      </c>
      <c r="IP5" s="3">
        <f>100*[6]Monatswerte!IP5/[6]Erwerbspersonen!$G6</f>
        <v>4.1439658224836142</v>
      </c>
      <c r="IQ5" s="3">
        <f>100*[6]Monatswerte!IQ5/[6]Erwerbspersonen!$G6</f>
        <v>4.2404233975817114</v>
      </c>
      <c r="IR5" s="3">
        <f>100*[6]Monatswerte!IR5/[6]Erwerbspersonen!$G6</f>
        <v>4.4469415391378924</v>
      </c>
      <c r="IS5" s="3">
        <f>100*[6]Monatswerte!IS5/[6]Erwerbspersonen!$G6</f>
        <v>4.6955052903522185</v>
      </c>
      <c r="IT5" s="3">
        <f>100*[6]Monatswerte!IT5/[6]Erwerbspersonen!$G6</f>
        <v>4.986114651224689</v>
      </c>
      <c r="IU5" s="60">
        <f>100*[7]Monatswerte!IU5/[7]Erwerbspersonen!$G6</f>
        <v>5.1171980225118459</v>
      </c>
      <c r="IV5" s="3">
        <f>100*[7]Monatswerte!IV5/[7]Erwerbspersonen!$G6</f>
        <v>5.1357475561845574</v>
      </c>
      <c r="IW5" s="3">
        <f>100*[7]Monatswerte!IW5/[7]Erwerbspersonen!$G6</f>
        <v>5.1221445648245689</v>
      </c>
      <c r="IX5" s="3">
        <f>100*[7]Monatswerte!IX5/[7]Erwerbspersonen!$G6</f>
        <v>4.9997176425846774</v>
      </c>
      <c r="IY5" s="3">
        <f>100*[7]Monatswerte!IY5/[7]Erwerbspersonen!$G6</f>
        <v>4.8859471693920504</v>
      </c>
      <c r="IZ5" s="3">
        <f>100*[7]Monatswerte!IZ5/[7]Erwerbspersonen!$G6</f>
        <v>4.9935344646937736</v>
      </c>
      <c r="JA5" s="3">
        <f>100*[7]Monatswerte!JA5/[7]Erwerbspersonen!$G6</f>
        <v>5.0838088619009669</v>
      </c>
      <c r="JB5" s="3">
        <f>100*[7]Monatswerte!JB5/[7]Erwerbspersonen!$G6</f>
        <v>5.0491830657119063</v>
      </c>
      <c r="JC5" s="3">
        <f>100*[7]Monatswerte!JC5/[7]Erwerbspersonen!$G6</f>
        <v>5.040526616664641</v>
      </c>
      <c r="JD5" s="3">
        <f>100*[7]Monatswerte!JD5/[7]Erwerbspersonen!$G6</f>
        <v>5.2359150380171959</v>
      </c>
      <c r="JE5" s="3">
        <f>100*[7]Monatswerte!JE5/[7]Erwerbspersonen!$G6</f>
        <v>5.4040974766497749</v>
      </c>
      <c r="JF5" s="3">
        <f>100*[7]Monatswerte!JF5/[7]Erwerbspersonen!$G6</f>
        <v>5.5698066441259924</v>
      </c>
      <c r="JG5" s="60">
        <f>100*[7]Monatswerte!JG5/[7]Erwerbspersonen!$G6</f>
        <v>5.6365849653477511</v>
      </c>
      <c r="JH5" s="3">
        <f>100*[7]Monatswerte!JH5/[7]Erwerbspersonen!$G6</f>
        <v>5.5413640258278356</v>
      </c>
      <c r="JI5" s="3">
        <f>100*[7]Monatswerte!JI5/[7]Erwerbspersonen!$G6</f>
        <v>5.4535628997770038</v>
      </c>
    </row>
    <row r="6" spans="1:269" s="1" customFormat="1" x14ac:dyDescent="0.2">
      <c r="A6" s="1" t="s">
        <v>3</v>
      </c>
      <c r="B6" s="1">
        <v>4</v>
      </c>
      <c r="C6" s="21">
        <f>100*Monatswerte!C6/Erwerbspersonen!$B7</f>
        <v>5.6440467141178914</v>
      </c>
      <c r="D6" s="21">
        <f>100*Monatswerte!D6/Erwerbspersonen!$B7</f>
        <v>5.6613226452905812</v>
      </c>
      <c r="E6" s="21">
        <f>100*Monatswerte!E6/Erwerbspersonen!$B7</f>
        <v>5.6112224448897798</v>
      </c>
      <c r="F6" s="21">
        <f>100*Monatswerte!F6/Erwerbspersonen!$B7</f>
        <v>5.5818533618962061</v>
      </c>
      <c r="G6" s="21">
        <f>100*Monatswerte!G6/Erwerbspersonen!$B7</f>
        <v>5.421187201990187</v>
      </c>
      <c r="H6" s="21">
        <f>100*Monatswerte!H6/Erwerbspersonen!$B7</f>
        <v>5.3918181189966141</v>
      </c>
      <c r="I6" s="21">
        <f>100*Monatswerte!I6/Erwerbspersonen!$B7</f>
        <v>5.5576670582544399</v>
      </c>
      <c r="J6" s="21">
        <f>100*Monatswerte!J6/Erwerbspersonen!$B7</f>
        <v>5.7649782323267225</v>
      </c>
      <c r="K6" s="21">
        <f>100*Monatswerte!K6/Erwerbspersonen!$B7</f>
        <v>5.6561398659387745</v>
      </c>
      <c r="L6" s="21">
        <f>100*Monatswerte!L6/Erwerbspersonen!$B7</f>
        <v>5.4591942505701061</v>
      </c>
      <c r="M6" s="21">
        <f>100*Monatswerte!M6/Erwerbspersonen!$B7</f>
        <v>5.5058392647363696</v>
      </c>
      <c r="N6" s="27">
        <f>100*Monatswerte!N6/Erwerbspersonen!$B7</f>
        <v>5.6008568861861656</v>
      </c>
      <c r="O6" s="21">
        <f>100*Monatswerte!O6/Erwerbspersonen!$B7</f>
        <v>5.6595950521733123</v>
      </c>
      <c r="P6" s="21">
        <f>100*Monatswerte!P6/Erwerbspersonen!$B7</f>
        <v>5.7425195218022251</v>
      </c>
      <c r="Q6" s="21">
        <f>100*Monatswerte!Q6/Erwerbspersonen!$B7</f>
        <v>5.5904913274825514</v>
      </c>
      <c r="R6" s="21">
        <f>100*Monatswerte!R6/Erwerbspersonen!$B7</f>
        <v>5.488563333563679</v>
      </c>
      <c r="S6" s="21">
        <f>100*Monatswerte!S6/Erwerbspersonen!$B7</f>
        <v>5.5438463133162879</v>
      </c>
      <c r="T6" s="21">
        <f>100*Monatswerte!T6/Erwerbspersonen!$B7</f>
        <v>5.5369359408472114</v>
      </c>
      <c r="U6" s="21">
        <f>100*Monatswerte!U6/Erwerbspersonen!$B7</f>
        <v>5.569760210075323</v>
      </c>
      <c r="V6" s="21">
        <f>100*Monatswerte!V6/Erwerbspersonen!$B7</f>
        <v>5.6855089489323474</v>
      </c>
      <c r="W6" s="21">
        <f>100*Monatswerte!W6/Erwerbspersonen!$B7</f>
        <v>5.6889641351668851</v>
      </c>
      <c r="X6" s="21">
        <f>100*Monatswerte!X6/Erwerbspersonen!$B7</f>
        <v>5.6267707829452007</v>
      </c>
      <c r="Y6" s="21">
        <f>100*Monatswerte!Y6/Erwerbspersonen!$B7</f>
        <v>5.6112224448897798</v>
      </c>
      <c r="Z6" s="27">
        <f>100*Monatswerte!Z6/Erwerbspersonen!$B7</f>
        <v>5.5939465137170892</v>
      </c>
      <c r="AA6" s="21">
        <f>100*Monatswerte!AA6/Erwerbspersonen!$B7</f>
        <v>5.5196600096745216</v>
      </c>
      <c r="AB6" s="21">
        <f>100*Monatswerte!AB6/Erwerbspersonen!$B7</f>
        <v>5.4868357404464101</v>
      </c>
      <c r="AC6" s="21">
        <f>100*Monatswerte!AC6/Erwerbspersonen!$B7</f>
        <v>5.4522838781010297</v>
      </c>
      <c r="AD6" s="21">
        <f>100*Monatswerte!AD6/Erwerbspersonen!$B7</f>
        <v>5.3641766291203092</v>
      </c>
      <c r="AE6" s="21">
        <f>100*Monatswerte!AE6/Erwerbspersonen!$B7</f>
        <v>5.2173312141524431</v>
      </c>
      <c r="AF6" s="21">
        <f>100*Monatswerte!AF6/Erwerbspersonen!$B7</f>
        <v>5.1205859995853773</v>
      </c>
      <c r="AG6" s="21">
        <f>100*Monatswerte!AG6/Erwerbspersonen!$B7</f>
        <v>5.137861930758068</v>
      </c>
      <c r="AH6" s="21">
        <f>100*Monatswerte!AH6/Erwerbspersonen!$B7</f>
        <v>5.15168267569622</v>
      </c>
      <c r="AI6" s="21">
        <f>100*Monatswerte!AI6/Erwerbspersonen!$B7</f>
        <v>5.0497546817773475</v>
      </c>
      <c r="AJ6" s="21">
        <f>100*Monatswerte!AJ6/Erwerbspersonen!$B7</f>
        <v>4.9098196392785569</v>
      </c>
      <c r="AK6" s="21">
        <f>100*Monatswerte!AK6/Erwerbspersonen!$B7</f>
        <v>4.840715914587796</v>
      </c>
      <c r="AL6" s="27">
        <f>100*Monatswerte!AL6/Erwerbspersonen!$B7</f>
        <v>4.8303503558841818</v>
      </c>
      <c r="AM6" s="21">
        <f>100*Monatswerte!AM6/Erwerbspersonen!$B7</f>
        <v>4.7975260866560712</v>
      </c>
      <c r="AN6" s="21">
        <f>100*Monatswerte!AN6/Erwerbspersonen!$B7</f>
        <v>4.7888881210697258</v>
      </c>
      <c r="AO6" s="21">
        <f>100*Monatswerte!AO6/Erwerbspersonen!$B7</f>
        <v>4.7370603275516547</v>
      </c>
      <c r="AP6" s="21">
        <f>100*Monatswerte!AP6/Erwerbspersonen!$B7</f>
        <v>4.5591182364729459</v>
      </c>
      <c r="AQ6" s="21">
        <f>100*Monatswerte!AQ6/Erwerbspersonen!$B7</f>
        <v>4.5072904429548757</v>
      </c>
      <c r="AR6" s="21">
        <f>100*Monatswerte!AR6/Erwerbspersonen!$B7</f>
        <v>4.476193766844033</v>
      </c>
      <c r="AS6" s="21">
        <f>100*Monatswerte!AS6/Erwerbspersonen!$B7</f>
        <v>4.5159284085412201</v>
      </c>
      <c r="AT6" s="21">
        <f>100*Monatswerte!AT6/Erwerbspersonen!$B7</f>
        <v>4.5746665745283668</v>
      </c>
      <c r="AU6" s="21">
        <f>100*Monatswerte!AU6/Erwerbspersonen!$B7</f>
        <v>4.4330039389123073</v>
      </c>
      <c r="AV6" s="21">
        <f>100*Monatswerte!AV6/Erwerbspersonen!$B7</f>
        <v>4.3829037385115059</v>
      </c>
      <c r="AW6" s="21">
        <f>100*Monatswerte!AW6/Erwerbspersonen!$B7</f>
        <v>4.3518070624006633</v>
      </c>
      <c r="AX6" s="27">
        <f>100*Monatswerte!AX6/Erwerbspersonen!$B7</f>
        <v>4.4295487526777695</v>
      </c>
      <c r="AY6" s="21">
        <f>100*Monatswerte!AY6/Erwerbspersonen!$C7</f>
        <v>3.9719194531682986</v>
      </c>
      <c r="AZ6" s="21">
        <f>100*Monatswerte!AZ6/Erwerbspersonen!$C7</f>
        <v>3.7871790134860519</v>
      </c>
      <c r="BA6" s="21">
        <f>100*Monatswerte!BA6/Erwerbspersonen!$C7</f>
        <v>3.8241271014225013</v>
      </c>
      <c r="BB6" s="21">
        <f>100*Monatswerte!BB6/Erwerbspersonen!$C7</f>
        <v>3.7687049695178274</v>
      </c>
      <c r="BC6" s="21">
        <f>100*Monatswerte!BC6/Erwerbspersonen!$C7</f>
        <v>3.5947410554837123</v>
      </c>
      <c r="BD6" s="21">
        <f>100*Monatswerte!BD6/Erwerbspersonen!$C7</f>
        <v>3.4731202660262332</v>
      </c>
      <c r="BE6" s="21">
        <f>100*Monatswerte!BE6/Erwerbspersonen!$C7</f>
        <v>3.5577929675472628</v>
      </c>
      <c r="BF6" s="21">
        <f>100*Monatswerte!BF6/Erwerbspersonen!$C7</f>
        <v>3.4731202660262332</v>
      </c>
      <c r="BG6" s="21">
        <f>100*Monatswerte!BG6/Erwerbspersonen!$C7</f>
        <v>3.5531744565552068</v>
      </c>
      <c r="BH6" s="21">
        <f>100*Monatswerte!BH6/Erwerbspersonen!$C7</f>
        <v>3.5254633906028698</v>
      </c>
      <c r="BI6" s="21">
        <f>100*Monatswerte!BI6/Erwerbspersonen!$C7</f>
        <v>3.5393189235790383</v>
      </c>
      <c r="BJ6" s="27">
        <f>100*Monatswerte!BJ6/Erwerbspersonen!$C7</f>
        <v>3.7209803559332473</v>
      </c>
      <c r="BK6" s="21">
        <f>100*Monatswerte!BK6/Erwerbspersonen!$C7</f>
        <v>3.914957817599606</v>
      </c>
      <c r="BL6" s="21">
        <f>100*Monatswerte!BL6/Erwerbspersonen!$C7</f>
        <v>4.0150255557608228</v>
      </c>
      <c r="BM6" s="21">
        <f>100*Monatswerte!BM6/Erwerbspersonen!$C7</f>
        <v>4.165896914834657</v>
      </c>
      <c r="BN6" s="21">
        <f>100*Monatswerte!BN6/Erwerbspersonen!$C7</f>
        <v>4.2243980540673691</v>
      </c>
      <c r="BO6" s="21">
        <f>100*Monatswerte!BO6/Erwerbspersonen!$C7</f>
        <v>4.2921362152841924</v>
      </c>
      <c r="BP6" s="21">
        <f>100*Monatswerte!BP6/Erwerbspersonen!$C7</f>
        <v>4.6138924810641049</v>
      </c>
      <c r="BQ6" s="21">
        <f>100*Monatswerte!BQ6/Erwerbspersonen!$C7</f>
        <v>4.8155674610505574</v>
      </c>
      <c r="BR6" s="21">
        <f>100*Monatswerte!BR6/Erwerbspersonen!$C7</f>
        <v>4.9448857688281302</v>
      </c>
      <c r="BS6" s="21">
        <f>100*Monatswerte!BS6/Erwerbspersonen!$C7</f>
        <v>4.9956893897407477</v>
      </c>
      <c r="BT6" s="21">
        <f>100*Monatswerte!BT6/Erwerbspersonen!$C7</f>
        <v>5.0249399593571029</v>
      </c>
      <c r="BU6" s="21">
        <f>100*Monatswerte!BU6/Erwerbspersonen!$C7</f>
        <v>5.0972966315659836</v>
      </c>
      <c r="BV6" s="27">
        <f>100*Monatswerte!BV6/Erwerbspersonen!$C7</f>
        <v>5.2774185602561738</v>
      </c>
      <c r="BW6" s="21">
        <f>100*Monatswerte!BW6/Erwerbspersonen!$C7</f>
        <v>5.1711928074388815</v>
      </c>
      <c r="BX6" s="21">
        <f>100*Monatswerte!BX6/Erwerbspersonen!$C7</f>
        <v>5.166574296446826</v>
      </c>
      <c r="BY6" s="21">
        <f>100*Monatswerte!BY6/Erwerbspersonen!$C7</f>
        <v>5.2219964283514999</v>
      </c>
      <c r="BZ6" s="21">
        <f>100*Monatswerte!BZ6/Erwerbspersonen!$C7</f>
        <v>5.0095449227169162</v>
      </c>
      <c r="CA6" s="21">
        <f>100*Monatswerte!CA6/Erwerbspersonen!$C7</f>
        <v>4.8848451259313999</v>
      </c>
      <c r="CB6" s="21">
        <f>100*Monatswerte!CB6/Erwerbspersonen!$C7</f>
        <v>4.7847773877701831</v>
      </c>
      <c r="CC6" s="21">
        <f>100*Monatswerte!CC6/Erwerbspersonen!$C7</f>
        <v>4.8124884537225201</v>
      </c>
      <c r="CD6" s="21">
        <f>100*Monatswerte!CD6/Erwerbspersonen!$C7</f>
        <v>4.8001724244103698</v>
      </c>
      <c r="CE6" s="21">
        <f>100*Monatswerte!CE6/Erwerbspersonen!$C7</f>
        <v>4.68009113861691</v>
      </c>
      <c r="CF6" s="21">
        <f>100*Monatswerte!CF6/Erwerbspersonen!$C7</f>
        <v>4.68009113861691</v>
      </c>
      <c r="CG6" s="21">
        <f>100*Monatswerte!CG6/Erwerbspersonen!$C7</f>
        <v>4.5569308454954127</v>
      </c>
      <c r="CH6" s="27">
        <f>100*Monatswerte!CH6/Erwerbspersonen!$C7</f>
        <v>4.530759283207094</v>
      </c>
      <c r="CI6" s="21">
        <f>100*Monatswerte!CI6/Erwerbspersonen!$C7</f>
        <v>4.4368495597019519</v>
      </c>
      <c r="CJ6" s="21">
        <f>100*Monatswerte!CJ6/Erwerbspersonen!$C7</f>
        <v>4.3290843032206414</v>
      </c>
      <c r="CK6" s="21">
        <f>100*Monatswerte!CK6/Erwerbspersonen!$C7</f>
        <v>4.2305560687234438</v>
      </c>
      <c r="CL6" s="21">
        <f>100*Monatswerte!CL6/Erwerbspersonen!$C7</f>
        <v>3.9057207956154936</v>
      </c>
      <c r="CM6" s="21">
        <f>100*Monatswerte!CM6/Erwerbspersonen!$C7</f>
        <v>3.7702444731818461</v>
      </c>
      <c r="CN6" s="21">
        <f>100*Monatswerte!CN6/Erwerbspersonen!$C7</f>
        <v>3.7148223412771721</v>
      </c>
      <c r="CO6" s="21">
        <f>100*Monatswerte!CO6/Erwerbspersonen!$C7</f>
        <v>3.6455446763963297</v>
      </c>
      <c r="CP6" s="21">
        <f>100*Monatswerte!CP6/Erwerbspersonen!$C7</f>
        <v>3.6301496397561426</v>
      </c>
      <c r="CQ6" s="21">
        <f>100*Monatswerte!CQ6/Erwerbspersonen!$C7</f>
        <v>3.5947410554837123</v>
      </c>
      <c r="CR6" s="21">
        <f>100*Monatswerte!CR6/Erwerbspersonen!$C7</f>
        <v>3.6640187203645547</v>
      </c>
      <c r="CS6" s="21">
        <f>100*Monatswerte!CS6/Erwerbspersonen!$C7</f>
        <v>3.8379826343986698</v>
      </c>
      <c r="CT6" s="27">
        <f>100*Monatswerte!CT6/Erwerbspersonen!$C7</f>
        <v>3.8918652626393251</v>
      </c>
      <c r="CU6" s="21">
        <f>100*Monatswerte!CU6/Erwerbspersonen!$C7</f>
        <v>3.8656937003510068</v>
      </c>
      <c r="CV6" s="21">
        <f>100*Monatswerte!CV6/Erwerbspersonen!$C7</f>
        <v>3.8687727076790441</v>
      </c>
      <c r="CW6" s="21">
        <f>100*Monatswerte!CW6/Erwerbspersonen!$C7</f>
        <v>3.7148223412771721</v>
      </c>
      <c r="CX6" s="21">
        <f>100*Monatswerte!CX6/Erwerbspersonen!$C7</f>
        <v>3.7148223412771721</v>
      </c>
      <c r="CY6" s="21">
        <f>100*Monatswerte!CY6/Erwerbspersonen!$C7</f>
        <v>3.694808793644929</v>
      </c>
      <c r="CZ6" s="21">
        <f>100*Monatswerte!CZ6/Erwerbspersonen!$C7</f>
        <v>3.7286778742533406</v>
      </c>
      <c r="DA6" s="21">
        <f>100*Monatswerte!DA6/Erwerbspersonen!$C7</f>
        <v>3.8333641234066138</v>
      </c>
      <c r="DB6" s="21">
        <f>100*Monatswerte!DB6/Erwerbspersonen!$C7</f>
        <v>3.9180368249276434</v>
      </c>
      <c r="DC6" s="21">
        <f>100*Monatswerte!DC6/Erwerbspersonen!$C7</f>
        <v>3.9580639201921302</v>
      </c>
      <c r="DD6" s="21">
        <f>100*Monatswerte!DD6/Erwerbspersonen!$C7</f>
        <v>4.128948826898208</v>
      </c>
      <c r="DE6" s="21">
        <f>100*Monatswerte!DE6/Erwerbspersonen!$C7</f>
        <v>4.316768273908492</v>
      </c>
      <c r="DF6" s="27">
        <f>100*Monatswerte!DF6/Erwerbspersonen!$C7</f>
        <v>4.3906644497813909</v>
      </c>
      <c r="DG6" s="21">
        <f>100*Monatswerte!DG6/Erwerbspersonen!$C7</f>
        <v>4.5292197795430758</v>
      </c>
      <c r="DH6" s="21">
        <f>100*Monatswerte!DH6/Erwerbspersonen!$C7</f>
        <v>4.4953506989346632</v>
      </c>
      <c r="DI6" s="21">
        <f>100*Monatswerte!DI6/Erwerbspersonen!$C7</f>
        <v>4.3567953691729784</v>
      </c>
      <c r="DJ6" s="21">
        <f>100*Monatswerte!DJ6/Erwerbspersonen!$C7</f>
        <v>4.316768273908492</v>
      </c>
      <c r="DK6" s="21">
        <f>100*Monatswerte!DK6/Erwerbspersonen!$C7</f>
        <v>4.1905289734589566</v>
      </c>
      <c r="DL6" s="21">
        <f>100*Monatswerte!DL6/Erwerbspersonen!$C7</f>
        <v>4.1874499661309192</v>
      </c>
      <c r="DM6" s="21">
        <f>100*Monatswerte!DM6/Erwerbspersonen!$C7</f>
        <v>4.1751339368187699</v>
      </c>
      <c r="DN6" s="21">
        <f>100*Monatswerte!DN6/Erwerbspersonen!$C7</f>
        <v>4.1905289734589566</v>
      </c>
      <c r="DO6" s="21">
        <f>100*Monatswerte!DO6/Erwerbspersonen!$C7</f>
        <v>4.1073957756019457</v>
      </c>
      <c r="DP6" s="21">
        <f>100*Monatswerte!DP6/Erwerbspersonen!$C7</f>
        <v>4.1766734404827881</v>
      </c>
      <c r="DQ6" s="21">
        <f>100*Monatswerte!DQ6/Erwerbspersonen!$C7</f>
        <v>4.2197795430753127</v>
      </c>
      <c r="DR6" s="27">
        <f>100*Monatswerte!DR6/Erwerbspersonen!$C7</f>
        <v>4.1458833672024138</v>
      </c>
      <c r="DS6" s="21">
        <f>100*Monatswerte!DS6/Erwerbspersonen!$D7</f>
        <v>4.0519418059396415</v>
      </c>
      <c r="DT6" s="21">
        <f>100*Monatswerte!DT6/Erwerbspersonen!$D7</f>
        <v>4.0143681615967299</v>
      </c>
      <c r="DU6" s="21">
        <f>100*Monatswerte!DU6/Erwerbspersonen!$D7</f>
        <v>3.9422267644583382</v>
      </c>
      <c r="DV6" s="21">
        <f>100*Monatswerte!DV6/Erwerbspersonen!$D7</f>
        <v>3.8866177708308283</v>
      </c>
      <c r="DW6" s="21">
        <f>100*Monatswerte!DW6/Erwerbspersonen!$D7</f>
        <v>3.7844174582181074</v>
      </c>
      <c r="DX6" s="21">
        <f>100*Monatswerte!DX6/Erwerbspersonen!$D7</f>
        <v>3.8084645905975711</v>
      </c>
      <c r="DY6" s="21">
        <f>100*Monatswerte!DY6/Erwerbspersonen!$D7</f>
        <v>3.8264999398821691</v>
      </c>
      <c r="DZ6" s="21">
        <f>100*Monatswerte!DZ6/Erwerbspersonen!$D7</f>
        <v>3.7182878441745824</v>
      </c>
      <c r="EA6" s="21">
        <f>100*Monatswerte!EA6/Erwerbspersonen!$D7</f>
        <v>3.6777083082842372</v>
      </c>
      <c r="EB6" s="21">
        <f>100*Monatswerte!EB6/Erwerbspersonen!$D7</f>
        <v>3.6521582301310569</v>
      </c>
      <c r="EC6" s="21">
        <f>100*Monatswerte!EC6/Erwerbspersonen!$D7</f>
        <v>3.6626788505470724</v>
      </c>
      <c r="ED6" s="21">
        <f>100*Monatswerte!ED6/Erwerbspersonen!$D7</f>
        <v>3.7242996272694482</v>
      </c>
      <c r="EE6" s="25">
        <f>100*Monatswerte!EE6/Erwerbspersonen!$D7</f>
        <v>3.6942407117951186</v>
      </c>
      <c r="EF6" s="21">
        <f>100*Monatswerte!EF6/Erwerbspersonen!$D7</f>
        <v>3.7753997835758084</v>
      </c>
      <c r="EG6" s="21">
        <f>100*Monatswerte!EG6/Erwerbspersonen!$D7</f>
        <v>3.919682577852591</v>
      </c>
      <c r="EH6" s="21">
        <f>100*Monatswerte!EH6/Erwerbspersonen!$D7</f>
        <v>3.9557532764217869</v>
      </c>
      <c r="EI6" s="21">
        <f>100*Monatswerte!EI6/Erwerbspersonen!$D7</f>
        <v>3.9076590116628593</v>
      </c>
      <c r="EJ6" s="21">
        <f>100*Monatswerte!EJ6/Erwerbspersonen!$D7</f>
        <v>4.0354094024287601</v>
      </c>
      <c r="EK6" s="21">
        <f>100*Monatswerte!EK6/Erwerbspersonen!$D7</f>
        <v>4.2398100276542019</v>
      </c>
      <c r="EL6" s="21">
        <f>100*Monatswerte!EL6/Erwerbspersonen!$D7</f>
        <v>4.2578453769387998</v>
      </c>
      <c r="EM6" s="21">
        <f>100*Monatswerte!EM6/Erwerbspersonen!$D7</f>
        <v>4.3299867740771916</v>
      </c>
      <c r="EN6" s="21">
        <f>100*Monatswerte!EN6/Erwerbspersonen!$D7</f>
        <v>4.432187086689912</v>
      </c>
      <c r="EO6" s="21">
        <f>100*Monatswerte!EO6/Erwerbspersonen!$D7</f>
        <v>4.5599374774558132</v>
      </c>
      <c r="EP6" s="21">
        <f>100*Monatswerte!EP6/Erwerbspersonen!$D7</f>
        <v>4.6471083323313698</v>
      </c>
      <c r="EQ6" s="25">
        <f>100*Monatswerte!EQ6/Erwerbspersonen!$D7</f>
        <v>4.5945052302512925</v>
      </c>
      <c r="ER6" s="21">
        <f>100*Monatswerte!ER6/Erwerbspersonen!$D7</f>
        <v>4.5914993387038594</v>
      </c>
      <c r="ES6" s="21">
        <f>100*Monatswerte!ES6/Erwerbspersonen!$D7</f>
        <v>4.5403991823974987</v>
      </c>
      <c r="ET6" s="21">
        <f>100*Monatswerte!ET6/Erwerbspersonen!$D7</f>
        <v>4.4983167007334375</v>
      </c>
      <c r="EU6" s="21">
        <f>100*Monatswerte!EU6/Erwerbspersonen!$D7</f>
        <v>4.517854995791752</v>
      </c>
      <c r="EV6" s="21">
        <f>100*Monatswerte!EV6/Erwerbspersonen!$D7</f>
        <v>4.4877960803174224</v>
      </c>
      <c r="EW6" s="21">
        <f>100*Monatswerte!EW6/Erwerbspersonen!$D7</f>
        <v>4.5268726704340505</v>
      </c>
      <c r="EX6" s="21">
        <f>100*Monatswerte!EX6/Erwerbspersonen!$D7</f>
        <v>4.6125405795358905</v>
      </c>
      <c r="EY6" s="21">
        <f>100*Monatswerte!EY6/Erwerbspersonen!$D7</f>
        <v>4.6546230611999517</v>
      </c>
      <c r="EZ6" s="21">
        <f>100*Monatswerte!EZ6/Erwerbspersonen!$D7</f>
        <v>4.7042202717325958</v>
      </c>
      <c r="FA6" s="21">
        <f>100*Monatswerte!FA6/Erwerbspersonen!$D7</f>
        <v>4.7372850787543586</v>
      </c>
      <c r="FB6" s="27">
        <f>100*Monatswerte!FB6/Erwerbspersonen!$D7</f>
        <v>4.72826740411206</v>
      </c>
      <c r="FC6" s="21">
        <f>100*Monatswerte!FC6/Erwerbspersonen!$E7</f>
        <v>4.5863725830728264</v>
      </c>
      <c r="FD6" s="21">
        <f>100*Monatswerte!FD6/Erwerbspersonen!$E7</f>
        <v>4.5675581799235845</v>
      </c>
      <c r="FE6" s="21">
        <f>100*Monatswerte!FE6/Erwerbspersonen!$E7</f>
        <v>4.5820307977306935</v>
      </c>
      <c r="FF6" s="21">
        <f>100*Monatswerte!FF6/Erwerbspersonen!$E7</f>
        <v>4.4648025934931113</v>
      </c>
      <c r="FG6" s="21">
        <f>100*Monatswerte!FG6/Erwerbspersonen!$E7</f>
        <v>4.4459881903438694</v>
      </c>
      <c r="FH6" s="21">
        <f>100*Monatswerte!FH6/Erwerbspersonen!$E7</f>
        <v>4.3924395044575659</v>
      </c>
      <c r="FI6" s="21">
        <f>100*Monatswerte!FI6/Erwerbspersonen!$E7</f>
        <v>4.4778279495195088</v>
      </c>
      <c r="FJ6" s="21">
        <f>100*Monatswerte!FJ6/Erwerbspersonen!$E7</f>
        <v>4.4821697348616416</v>
      </c>
      <c r="FK6" s="21">
        <f>100*Monatswerte!FK6/Erwerbspersonen!$E7</f>
        <v>4.4416464050017366</v>
      </c>
      <c r="FL6" s="21">
        <f>100*Monatswerte!FL6/Erwerbspersonen!$E7</f>
        <v>4.3432326039133962</v>
      </c>
      <c r="FM6" s="21">
        <f>100*Monatswerte!FM6/Erwerbspersonen!$E7</f>
        <v>4.3750723630890356</v>
      </c>
      <c r="FN6" s="21">
        <f>100*Monatswerte!FN6/Erwerbspersonen!$E7</f>
        <v>4.3823086719925897</v>
      </c>
      <c r="FO6" s="25">
        <f>100*Monatswerte!FO6/Erwerbspersonen!$E7</f>
        <v>4.4821697348616416</v>
      </c>
      <c r="FP6" s="21">
        <f>100*Monatswerte!FP6/Erwerbspersonen!$E7</f>
        <v>4.5009841380108835</v>
      </c>
      <c r="FQ6" s="21">
        <f>100*Monatswerte!FQ6/Erwerbspersonen!$E7</f>
        <v>4.428621048975339</v>
      </c>
      <c r="FR6" s="21">
        <f>100*Monatswerte!FR6/Erwerbspersonen!$E7</f>
        <v>4.3027092740534911</v>
      </c>
      <c r="FS6" s="21">
        <f>100*Monatswerte!FS6/Erwerbspersonen!$E7</f>
        <v>4.1695611902280882</v>
      </c>
      <c r="FT6" s="21">
        <f>100*Monatswerte!FT6/Erwerbspersonen!$E7</f>
        <v>3.9741808498321176</v>
      </c>
      <c r="FU6" s="21">
        <f>100*Monatswerte!FU6/Erwerbspersonen!$E7</f>
        <v>4.0147041796920231</v>
      </c>
      <c r="FV6" s="21">
        <f>100*Monatswerte!FV6/Erwerbspersonen!$E7</f>
        <v>4.0277295357184206</v>
      </c>
      <c r="FW6" s="21">
        <f>100*Monatswerte!FW6/Erwerbspersonen!$E7</f>
        <v>4.0494384624290838</v>
      </c>
      <c r="FX6" s="21">
        <f>100*Monatswerte!FX6/Erwerbspersonen!$E7</f>
        <v>4.0581220331133494</v>
      </c>
      <c r="FY6" s="21">
        <f>100*Monatswerte!FY6/Erwerbspersonen!$E7</f>
        <v>4.0422021535255297</v>
      </c>
      <c r="FZ6" s="21">
        <f>100*Monatswerte!FZ6/Erwerbspersonen!$E7</f>
        <v>4.0407548917448191</v>
      </c>
      <c r="GA6" s="25">
        <f>100*Monatswerte!GA6/Erwerbspersonen!$E7</f>
        <v>3.9929952529813595</v>
      </c>
      <c r="GB6" s="21">
        <f>100*Monatswerte!GB6/Erwerbspersonen!$E7</f>
        <v>3.8815560958666202</v>
      </c>
      <c r="GC6" s="21">
        <f>100*Monatswerte!GC6/Erwerbspersonen!$E7</f>
        <v>3.8569526455945353</v>
      </c>
      <c r="GD6" s="21">
        <f>100*Monatswerte!GD6/Erwerbspersonen!$E7</f>
        <v>3.8005094361468101</v>
      </c>
      <c r="GE6" s="21">
        <f>100*Monatswerte!GE6/Erwerbspersonen!$E7</f>
        <v>3.7744587240940142</v>
      </c>
      <c r="GF6" s="21">
        <f>100*Monatswerte!GF6/Erwerbspersonen!$E7</f>
        <v>3.704990158619891</v>
      </c>
      <c r="GG6" s="21">
        <f>100*Monatswerte!GG6/Erwerbspersonen!$E7</f>
        <v>3.7411717031376637</v>
      </c>
      <c r="GH6" s="21">
        <f>100*Monatswerte!GH6/Erwerbspersonen!$E7</f>
        <v>3.6717031376635405</v>
      </c>
      <c r="GI6" s="21">
        <f>100*Monatswerte!GI6/Erwerbspersonen!$E7</f>
        <v>3.7252518235498435</v>
      </c>
      <c r="GJ6" s="21">
        <f>100*Monatswerte!GJ6/Erwerbspersonen!$E7</f>
        <v>3.778800509436147</v>
      </c>
      <c r="GK6" s="21">
        <f>100*Monatswerte!GK6/Erwerbspersonen!$E7</f>
        <v>3.8439272895681369</v>
      </c>
      <c r="GL6" s="21">
        <f>100*Monatswerte!GL6/Erwerbspersonen!$E7</f>
        <v>3.9018177607965727</v>
      </c>
      <c r="GM6" s="25">
        <f>100*Monatswerte!GM6/Erwerbspersonen!$F7</f>
        <v>3.9350909949425286</v>
      </c>
      <c r="GN6" s="21">
        <f>100*Monatswerte!GN6/Erwerbspersonen!$F7</f>
        <v>3.855949500072176</v>
      </c>
      <c r="GO6" s="21">
        <f>100*Monatswerte!GO6/Erwerbspersonen!$F7</f>
        <v>4.2267420593721612</v>
      </c>
      <c r="GP6" s="21">
        <f>100*Monatswerte!GP6/Erwerbspersonen!$F7</f>
        <v>4.5755508700970484</v>
      </c>
      <c r="GQ6" s="21">
        <f>100*Monatswerte!GQ6/Erwerbspersonen!$F7</f>
        <v>4.7177124442160148</v>
      </c>
      <c r="GR6" s="21">
        <f>100*Monatswerte!GR6/Erwerbspersonen!$F7</f>
        <v>4.9624648450187721</v>
      </c>
      <c r="GS6" s="21">
        <f>100*Monatswerte!GS6/Erwerbspersonen!$F7</f>
        <v>5.1617841654329926</v>
      </c>
      <c r="GT6" s="21">
        <f>100*Monatswerte!GT6/Erwerbspersonen!$F7</f>
        <v>5.2423912435416851</v>
      </c>
      <c r="GU6" s="21">
        <f>100*Monatswerte!GU6/Erwerbspersonen!$F7</f>
        <v>5.2379944938266654</v>
      </c>
      <c r="GV6" s="21">
        <f>100*Monatswerte!GV6/Erwerbspersonen!$F7</f>
        <v>5.2863587406918811</v>
      </c>
      <c r="GW6" s="21">
        <f>100*Monatswerte!GW6/Erwerbspersonen!$F7</f>
        <v>5.4109333159507695</v>
      </c>
      <c r="GX6" s="27">
        <f>100*Monatswerte!GX6/Erwerbspersonen!$F7</f>
        <v>5.5340423079713181</v>
      </c>
      <c r="GY6" s="21">
        <f>100*Monatswerte!GY6/Erwerbspersonen!$F7</f>
        <v>5.5882688877898925</v>
      </c>
      <c r="GZ6" s="21">
        <f>100*Monatswerte!GZ6/Erwerbspersonen!$F7</f>
        <v>5.5677507224531348</v>
      </c>
      <c r="HA6" s="21">
        <f>100*Monatswerte!HA6/Erwerbspersonen!$F7</f>
        <v>5.5794753883598531</v>
      </c>
      <c r="HB6" s="21">
        <f>100*Monatswerte!HB6/Erwerbspersonen!$F7</f>
        <v>5.5281799750179585</v>
      </c>
      <c r="HC6" s="21">
        <f>100*Monatswerte!HC6/Erwerbspersonen!$F7</f>
        <v>5.5003338934895014</v>
      </c>
      <c r="HD6" s="21">
        <f>100*Monatswerte!HD6/Erwerbspersonen!$F7</f>
        <v>5.390415150614011</v>
      </c>
      <c r="HE6" s="21">
        <f>100*Monatswerte!HE6/Erwerbspersonen!$F7</f>
        <v>5.2614438256401037</v>
      </c>
      <c r="HF6" s="21">
        <f>100*Monatswerte!HF6/Erwerbspersonen!$F7</f>
        <v>5.1383348336195551</v>
      </c>
      <c r="HG6" s="21">
        <f>100*Monatswerte!HG6/Erwerbspersonen!$F7</f>
        <v>5.0049667589306281</v>
      </c>
      <c r="HH6" s="21">
        <f>100*Monatswerte!HH6/Erwerbspersonen!$F7</f>
        <v>4.9023759322468372</v>
      </c>
      <c r="HI6" s="21">
        <f>100*Monatswerte!HI6/Erwerbspersonen!$F7</f>
        <v>4.9947076762622489</v>
      </c>
      <c r="HJ6" s="21">
        <f>100*Monatswerte!HJ6/Erwerbspersonen!$F7</f>
        <v>4.8906512663401189</v>
      </c>
      <c r="HK6" s="60">
        <f>100*Monatswerte!HK6/Erwerbspersonen!$F7</f>
        <v>4.815906521184786</v>
      </c>
      <c r="HL6" s="3">
        <f>100*Monatswerte!HL6/Erwerbspersonen!$F7</f>
        <v>4.7558176084128512</v>
      </c>
      <c r="HM6" s="3">
        <f>100*Monatswerte!HM6/Erwerbspersonen!$F7</f>
        <v>4.6077937013405252</v>
      </c>
      <c r="HN6" s="3">
        <f>100*Monatswerte!HN6/Erwerbspersonen!$F7</f>
        <v>4.4084743809263038</v>
      </c>
      <c r="HO6" s="3">
        <f>100*Monatswerte!HO6/Erwerbspersonen!$F7</f>
        <v>4.3044179710041739</v>
      </c>
      <c r="HP6" s="3">
        <f>100*Monatswerte!HP6/Erwerbspersonen!$F7</f>
        <v>4.1446693980251288</v>
      </c>
      <c r="HQ6" s="3">
        <f>100*Monatswerte!HQ6/Erwerbspersonen!$F7</f>
        <v>4.0347506551496393</v>
      </c>
      <c r="HR6" s="3">
        <f>100*Monatswerte!HR6/Erwerbspersonen!$F7</f>
        <v>3.9629370764709861</v>
      </c>
      <c r="HS6" s="3">
        <f>100*Monatswerte!HS6/Erwerbspersonen!$F7</f>
        <v>3.8339657514970784</v>
      </c>
      <c r="HT6" s="3">
        <f>100*Monatswerte!HT6/Erwerbspersonen!$F7</f>
        <v>3.7650833392951046</v>
      </c>
      <c r="HU6" s="3">
        <f>100*Monatswerte!HU6/Erwerbspersonen!$F7</f>
        <v>3.7328405080516278</v>
      </c>
      <c r="HV6" s="64">
        <f>100*Monatswerte!HV6/Erwerbspersonen!$F7</f>
        <v>3.6639580958496545</v>
      </c>
      <c r="HW6" s="3">
        <f>100*[5]Monatswerte!HW6/[5]Erwerbspersonen!$F7</f>
        <v>3.6595613461346348</v>
      </c>
      <c r="HX6" s="3">
        <f>100*[5]Monatswerte!HX6/[5]Erwerbspersonen!$F7</f>
        <v>3.6800795114713929</v>
      </c>
      <c r="HY6" s="3">
        <f>100*[5]Monatswerte!HY6/[5]Erwerbspersonen!$F7</f>
        <v>3.6082659327927393</v>
      </c>
      <c r="HZ6" s="3">
        <f>100*[5]Monatswerte!HZ6/[5]Erwerbspersonen!$F7</f>
        <v>3.4690355251504528</v>
      </c>
      <c r="IA6" s="3">
        <f>100*[5]Monatswerte!IA6/[5]Erwerbspersonen!$F7</f>
        <v>3.3752381978967017</v>
      </c>
      <c r="IB6" s="3">
        <f>100*[5]Monatswerte!IB6/[5]Erwerbspersonen!$F7</f>
        <v>3.370841448181682</v>
      </c>
      <c r="IC6" s="3">
        <f>100*[5]Monatswerte!IC6/[5]Erwerbspersonen!$F7</f>
        <v>3.4250680280002568</v>
      </c>
      <c r="ID6" s="3">
        <f>100*[5]Monatswerte!ID6/[5]Erwerbspersonen!$F7</f>
        <v>3.4118777788551982</v>
      </c>
      <c r="IE6" s="3">
        <f>100*[5]Monatswerte!IE6/[5]Erwerbspersonen!$F7</f>
        <v>3.3854972805650805</v>
      </c>
      <c r="IF6" s="3">
        <f>100*[5]Monatswerte!IF6/[5]Erwerbspersonen!$F7</f>
        <v>3.3986875297101391</v>
      </c>
      <c r="IG6" s="3">
        <f>100*[5]Monatswerte!IG6/[5]Erwerbspersonen!$F7</f>
        <v>3.5555049362125044</v>
      </c>
      <c r="IH6" s="3">
        <f>100*[5]Monatswerte!IH6/[5]Erwerbspersonen!$F7</f>
        <v>3.583351017740962</v>
      </c>
      <c r="II6" s="60">
        <f>100*[6]Monatswerte!II6/[6]Erwerbspersonen!$G7</f>
        <v>3.6366244133238825</v>
      </c>
      <c r="IJ6" s="3">
        <f>100*[6]Monatswerte!IJ6/[6]Erwerbspersonen!$G7</f>
        <v>3.6745819543702178</v>
      </c>
      <c r="IK6" s="3">
        <f>100*[6]Monatswerte!IK6/[6]Erwerbspersonen!$G7</f>
        <v>3.7008602520176805</v>
      </c>
      <c r="IL6" s="3">
        <f>100*[6]Monatswerte!IL6/[6]Erwerbspersonen!$G7</f>
        <v>3.7285984550900024</v>
      </c>
      <c r="IM6" s="3">
        <f>100*[6]Monatswerte!IM6/[6]Erwerbspersonen!$G7</f>
        <v>3.7125394954165527</v>
      </c>
      <c r="IN6" s="3">
        <f>100*[6]Monatswerte!IN6/[6]Erwerbspersonen!$G7</f>
        <v>3.7198390225408482</v>
      </c>
      <c r="IO6" s="3">
        <f>100*[6]Monatswerte!IO6/[6]Erwerbspersonen!$G7</f>
        <v>3.8935677680990746</v>
      </c>
      <c r="IP6" s="3">
        <f>100*[6]Monatswerte!IP6/[6]Erwerbspersonen!$G7</f>
        <v>3.8804286192753432</v>
      </c>
      <c r="IQ6" s="3">
        <f>100*[6]Monatswerte!IQ6/[6]Erwerbspersonen!$G7</f>
        <v>4.0059804858132209</v>
      </c>
      <c r="IR6" s="3">
        <f>100*[6]Monatswerte!IR6/[6]Erwerbspersonen!$G7</f>
        <v>4.1008743384290591</v>
      </c>
      <c r="IS6" s="3">
        <f>100*[6]Monatswerte!IS6/[6]Erwerbspersonen!$G7</f>
        <v>4.2935818545104532</v>
      </c>
      <c r="IT6" s="3">
        <f>100*[6]Monatswerte!IT6/[6]Erwerbspersonen!$G7</f>
        <v>4.398695045100304</v>
      </c>
      <c r="IU6" s="60">
        <f>100*[7]Monatswerte!IU6/[7]Erwerbspersonen!$G7</f>
        <v>4.570963885233672</v>
      </c>
      <c r="IV6" s="3">
        <f>100*[7]Monatswerte!IV6/[7]Erwerbspersonen!$G7</f>
        <v>4.6410393456269059</v>
      </c>
      <c r="IW6" s="3">
        <f>100*[7]Monatswerte!IW6/[7]Erwerbspersonen!$G7</f>
        <v>4.7300935765433074</v>
      </c>
      <c r="IX6" s="3">
        <f>100*[7]Monatswerte!IX6/[7]Erwerbspersonen!$G7</f>
        <v>4.7490723470664751</v>
      </c>
      <c r="IY6" s="3">
        <f>100*[7]Monatswerte!IY6/[7]Erwerbspersonen!$G7</f>
        <v>4.7330133873930258</v>
      </c>
      <c r="IZ6" s="3">
        <f>100*[7]Monatswerte!IZ6/[7]Erwerbspersonen!$G7</f>
        <v>4.8541855376563268</v>
      </c>
      <c r="JA6" s="3">
        <f>100*[7]Monatswerte!JA6/[7]Erwerbspersonen!$G7</f>
        <v>4.9038223221015338</v>
      </c>
      <c r="JB6" s="3">
        <f>100*[7]Monatswerte!JB6/[7]Erwerbspersonen!$G7</f>
        <v>4.9315605251738557</v>
      </c>
      <c r="JC6" s="3">
        <f>100*[7]Monatswerte!JC6/[7]Erwerbspersonen!$G7</f>
        <v>4.991416647593077</v>
      </c>
      <c r="JD6" s="3">
        <f>100*[7]Monatswerte!JD6/[7]Erwerbspersonen!$G7</f>
        <v>5.0892303110586328</v>
      </c>
      <c r="JE6" s="3">
        <f>100*[7]Monatswerte!JE6/[7]Erwerbspersonen!$G7</f>
        <v>5.0877704056337736</v>
      </c>
      <c r="JF6" s="3">
        <f>100*[7]Monatswerte!JF6/[7]Erwerbspersonen!$G7</f>
        <v>5.0848505947840552</v>
      </c>
      <c r="JG6" s="60">
        <f>100*[7]Monatswerte!JG6/[7]Erwerbspersonen!$G7</f>
        <v>5.1987232179230611</v>
      </c>
      <c r="JH6" s="3">
        <f>100*[7]Monatswerte!JH6/[7]Erwerbspersonen!$G7</f>
        <v>5.1242680412552497</v>
      </c>
      <c r="JI6" s="3">
        <f>100*[7]Monatswerte!JI6/[7]Erwerbspersonen!$G7</f>
        <v>5.1169685141309547</v>
      </c>
    </row>
    <row r="7" spans="1:269" s="1" customFormat="1" x14ac:dyDescent="0.2">
      <c r="A7" s="1" t="s">
        <v>4</v>
      </c>
      <c r="B7" s="1">
        <v>5</v>
      </c>
      <c r="C7" s="21">
        <f>100*Monatswerte!C7/Erwerbspersonen!$B8</f>
        <v>4.057505924880811</v>
      </c>
      <c r="D7" s="21">
        <f>100*Monatswerte!D7/Erwerbspersonen!$B8</f>
        <v>4.0584280853182833</v>
      </c>
      <c r="E7" s="21">
        <f>100*Monatswerte!E7/Erwerbspersonen!$B8</f>
        <v>3.9588347580712093</v>
      </c>
      <c r="F7" s="21">
        <f>100*Monatswerte!F7/Erwerbspersonen!$B8</f>
        <v>3.9044272922603076</v>
      </c>
      <c r="G7" s="21">
        <f>100*Monatswerte!G7/Erwerbspersonen!$B8</f>
        <v>3.783624274951356</v>
      </c>
      <c r="H7" s="21">
        <f>100*Monatswerte!H7/Erwerbspersonen!$B8</f>
        <v>3.7338276113278188</v>
      </c>
      <c r="I7" s="21">
        <f>100*Monatswerte!I7/Erwerbspersonen!$B8</f>
        <v>3.8066782858881787</v>
      </c>
      <c r="J7" s="21">
        <f>100*Monatswerte!J7/Erwerbspersonen!$B8</f>
        <v>3.9154932175099826</v>
      </c>
      <c r="K7" s="21">
        <f>100*Monatswerte!K7/Erwerbspersonen!$B8</f>
        <v>3.8472533451369868</v>
      </c>
      <c r="L7" s="21">
        <f>100*Monatswerte!L7/Erwerbspersonen!$B8</f>
        <v>3.7153844025783607</v>
      </c>
      <c r="M7" s="21">
        <f>100*Monatswerte!M7/Erwerbspersonen!$B8</f>
        <v>3.8214328528877455</v>
      </c>
      <c r="N7" s="27">
        <f>100*Monatswerte!N7/Erwerbspersonen!$B8</f>
        <v>3.9330142658219676</v>
      </c>
      <c r="O7" s="21">
        <f>100*Monatswerte!O7/Erwerbspersonen!$B8</f>
        <v>3.9754336459457216</v>
      </c>
      <c r="P7" s="21">
        <f>100*Monatswerte!P7/Erwerbspersonen!$B8</f>
        <v>4.0215416678193669</v>
      </c>
      <c r="Q7" s="21">
        <f>100*Monatswerte!Q7/Erwerbspersonen!$B8</f>
        <v>3.9302477845095489</v>
      </c>
      <c r="R7" s="21">
        <f>100*Monatswerte!R7/Erwerbspersonen!$B8</f>
        <v>3.8407982220746764</v>
      </c>
      <c r="S7" s="21">
        <f>100*Monatswerte!S7/Erwerbspersonen!$B8</f>
        <v>3.8537084681992972</v>
      </c>
      <c r="T7" s="21">
        <f>100*Monatswerte!T7/Erwerbspersonen!$B8</f>
        <v>3.8168220507003809</v>
      </c>
      <c r="U7" s="21">
        <f>100*Monatswerte!U7/Erwerbspersonen!$B8</f>
        <v>3.8463311846995141</v>
      </c>
      <c r="V7" s="21">
        <f>100*Monatswerte!V7/Erwerbspersonen!$B8</f>
        <v>3.8887505648232681</v>
      </c>
      <c r="W7" s="21">
        <f>100*Monatswerte!W7/Erwerbspersonen!$B8</f>
        <v>3.8841397626359035</v>
      </c>
      <c r="X7" s="21">
        <f>100*Monatswerte!X7/Erwerbspersonen!$B8</f>
        <v>3.8739959978237013</v>
      </c>
      <c r="Y7" s="21">
        <f>100*Monatswerte!Y7/Erwerbspersonen!$B8</f>
        <v>3.8739959978237013</v>
      </c>
      <c r="Z7" s="27">
        <f>100*Monatswerte!Z7/Erwerbspersonen!$B8</f>
        <v>3.8841397626359035</v>
      </c>
      <c r="AA7" s="21">
        <f>100*Monatswerte!AA7/Erwerbspersonen!$B8</f>
        <v>3.8961278483230513</v>
      </c>
      <c r="AB7" s="21">
        <f>100*Monatswerte!AB7/Erwerbspersonen!$B8</f>
        <v>3.8343430990123664</v>
      </c>
      <c r="AC7" s="21">
        <f>100*Monatswerte!AC7/Erwerbspersonen!$B8</f>
        <v>3.7854685958263019</v>
      </c>
      <c r="AD7" s="21">
        <f>100*Monatswerte!AD7/Erwerbspersonen!$B8</f>
        <v>3.6932525520790107</v>
      </c>
      <c r="AE7" s="21">
        <f>100*Monatswerte!AE7/Erwerbspersonen!$B8</f>
        <v>3.554006326020601</v>
      </c>
      <c r="AF7" s="21">
        <f>100*Monatswerte!AF7/Erwerbspersonen!$B8</f>
        <v>3.4664010844606743</v>
      </c>
      <c r="AG7" s="21">
        <f>100*Monatswerte!AG7/Erwerbspersonen!$B8</f>
        <v>3.460868121835837</v>
      </c>
      <c r="AH7" s="21">
        <f>100*Monatswerte!AH7/Erwerbspersonen!$B8</f>
        <v>3.3677299176510731</v>
      </c>
      <c r="AI7" s="21">
        <f>100*Monatswerte!AI7/Erwerbspersonen!$B8</f>
        <v>3.3031786870279691</v>
      </c>
      <c r="AJ7" s="21">
        <f>100*Monatswerte!AJ7/Erwerbspersonen!$B8</f>
        <v>3.2128069641556238</v>
      </c>
      <c r="AK7" s="21">
        <f>100*Monatswerte!AK7/Erwerbspersonen!$B8</f>
        <v>3.128890364345589</v>
      </c>
      <c r="AL7" s="27">
        <f>100*Monatswerte!AL7/Erwerbspersonen!$B8</f>
        <v>3.1703875840318698</v>
      </c>
      <c r="AM7" s="21">
        <f>100*Monatswerte!AM7/Erwerbspersonen!$B8</f>
        <v>3.1676211027194512</v>
      </c>
      <c r="AN7" s="21">
        <f>100*Monatswerte!AN7/Erwerbspersonen!$B8</f>
        <v>3.1390341291577908</v>
      </c>
      <c r="AO7" s="21">
        <f>100*Monatswerte!AO7/Erwerbspersonen!$B8</f>
        <v>3.044051604098081</v>
      </c>
      <c r="AP7" s="21">
        <f>100*Monatswerte!AP7/Erwerbspersonen!$B8</f>
        <v>2.9361588329137502</v>
      </c>
      <c r="AQ7" s="21">
        <f>100*Monatswerte!AQ7/Erwerbspersonen!$B8</f>
        <v>2.8531643935411881</v>
      </c>
      <c r="AR7" s="21">
        <f>100*Monatswerte!AR7/Erwerbspersonen!$B8</f>
        <v>2.7969126068553405</v>
      </c>
      <c r="AS7" s="21">
        <f>100*Monatswerte!AS7/Erwerbspersonen!$B8</f>
        <v>2.7701699541686264</v>
      </c>
      <c r="AT7" s="21">
        <f>100*Monatswerte!AT7/Erwerbspersonen!$B8</f>
        <v>2.7544932267315869</v>
      </c>
      <c r="AU7" s="21">
        <f>100*Monatswerte!AU7/Erwerbspersonen!$B8</f>
        <v>2.6447561346723103</v>
      </c>
      <c r="AV7" s="21">
        <f>100*Monatswerte!AV7/Erwerbspersonen!$B8</f>
        <v>2.6023367545485563</v>
      </c>
      <c r="AW7" s="21">
        <f>100*Monatswerte!AW7/Erwerbspersonen!$B8</f>
        <v>2.639223172047473</v>
      </c>
      <c r="AX7" s="27">
        <f>100*Monatswerte!AX7/Erwerbspersonen!$B8</f>
        <v>2.7176068092326702</v>
      </c>
      <c r="AY7" s="21">
        <f>100*Monatswerte!AY7/Erwerbspersonen!$C8</f>
        <v>2.5578605087899287</v>
      </c>
      <c r="AZ7" s="21">
        <f>100*Monatswerte!AZ7/Erwerbspersonen!$C8</f>
        <v>2.4613538750456452</v>
      </c>
      <c r="BA7" s="21">
        <f>100*Monatswerte!BA7/Erwerbspersonen!$C8</f>
        <v>2.4135352727399191</v>
      </c>
      <c r="BB7" s="21">
        <f>100*Monatswerte!BB7/Erwerbspersonen!$C8</f>
        <v>2.3970161192161226</v>
      </c>
      <c r="BC7" s="21">
        <f>100*Monatswerte!BC7/Erwerbspersonen!$C8</f>
        <v>2.2744266114868976</v>
      </c>
      <c r="BD7" s="21">
        <f>100*Monatswerte!BD7/Erwerbspersonen!$C8</f>
        <v>2.1753116903441199</v>
      </c>
      <c r="BE7" s="21">
        <f>100*Monatswerte!BE7/Erwerbspersonen!$C8</f>
        <v>2.1874836982037595</v>
      </c>
      <c r="BF7" s="21">
        <f>100*Monatswerte!BF7/Erwerbspersonen!$C8</f>
        <v>2.1248848006398999</v>
      </c>
      <c r="BG7" s="21">
        <f>100*Monatswerte!BG7/Erwerbspersonen!$C8</f>
        <v>2.1518371037576727</v>
      </c>
      <c r="BH7" s="21">
        <f>100*Monatswerte!BH7/Erwerbspersonen!$C8</f>
        <v>2.152706532890504</v>
      </c>
      <c r="BI7" s="21">
        <f>100*Monatswerte!BI7/Erwerbspersonen!$C8</f>
        <v>2.243127162704968</v>
      </c>
      <c r="BJ7" s="27">
        <f>100*Monatswerte!BJ7/Erwerbspersonen!$C8</f>
        <v>2.4665704498426333</v>
      </c>
      <c r="BK7" s="21">
        <f>100*Monatswerte!BK7/Erwerbspersonen!$C8</f>
        <v>2.6804500165191536</v>
      </c>
      <c r="BL7" s="21">
        <f>100*Monatswerte!BL7/Erwerbspersonen!$C8</f>
        <v>2.8013006659827155</v>
      </c>
      <c r="BM7" s="21">
        <f>100*Monatswerte!BM7/Erwerbspersonen!$C8</f>
        <v>2.9838807838773063</v>
      </c>
      <c r="BN7" s="21">
        <f>100*Monatswerte!BN7/Erwerbspersonen!$C8</f>
        <v>3.135161452989967</v>
      </c>
      <c r="BO7" s="21">
        <f>100*Monatswerte!BO7/Erwerbspersonen!$C8</f>
        <v>3.2177572206089482</v>
      </c>
      <c r="BP7" s="21">
        <f>100*Monatswerte!BP7/Erwerbspersonen!$C8</f>
        <v>3.444678224277939</v>
      </c>
      <c r="BQ7" s="21">
        <f>100*Monatswerte!BQ7/Erwerbspersonen!$C8</f>
        <v>3.5837868855309605</v>
      </c>
      <c r="BR7" s="21">
        <f>100*Monatswerte!BR7/Erwerbspersonen!$C8</f>
        <v>3.6602966492201219</v>
      </c>
      <c r="BS7" s="21">
        <f>100*Monatswerte!BS7/Erwerbspersonen!$C8</f>
        <v>3.7063763932601854</v>
      </c>
      <c r="BT7" s="21">
        <f>100*Monatswerte!BT7/Erwerbspersonen!$C8</f>
        <v>3.7333286963779582</v>
      </c>
      <c r="BU7" s="21">
        <f>100*Monatswerte!BU7/Erwerbspersonen!$C8</f>
        <v>3.8133161765984456</v>
      </c>
      <c r="BV7" s="27">
        <f>100*Monatswerte!BV7/Erwerbspersonen!$C8</f>
        <v>3.9767688535707455</v>
      </c>
      <c r="BW7" s="21">
        <f>100*Monatswerte!BW7/Erwerbspersonen!$C8</f>
        <v>3.9437305465231529</v>
      </c>
      <c r="BX7" s="21">
        <f>100*Monatswerte!BX7/Erwerbspersonen!$C8</f>
        <v>3.8880870820219444</v>
      </c>
      <c r="BY7" s="21">
        <f>100*Monatswerte!BY7/Erwerbspersonen!$C8</f>
        <v>3.8889565111547757</v>
      </c>
      <c r="BZ7" s="21">
        <f>100*Monatswerte!BZ7/Erwerbspersonen!$C8</f>
        <v>3.7437618459719348</v>
      </c>
      <c r="CA7" s="21">
        <f>100*Monatswerte!CA7/Erwerbspersonen!$C8</f>
        <v>3.6524717870246395</v>
      </c>
      <c r="CB7" s="21">
        <f>100*Monatswerte!CB7/Erwerbspersonen!$C8</f>
        <v>3.5237962753655951</v>
      </c>
      <c r="CC7" s="21">
        <f>100*Monatswerte!CC7/Erwerbspersonen!$C8</f>
        <v>3.4959745431149907</v>
      </c>
      <c r="CD7" s="21">
        <f>100*Monatswerte!CD7/Erwerbspersonen!$C8</f>
        <v>3.4603279486689038</v>
      </c>
      <c r="CE7" s="21">
        <f>100*Monatswerte!CE7/Erwerbspersonen!$C8</f>
        <v>3.3438244448694987</v>
      </c>
      <c r="CF7" s="21">
        <f>100*Monatswerte!CF7/Erwerbspersonen!$C8</f>
        <v>3.26296753551618</v>
      </c>
      <c r="CG7" s="21">
        <f>100*Monatswerte!CG7/Erwerbspersonen!$C8</f>
        <v>3.2108017875462971</v>
      </c>
      <c r="CH7" s="27">
        <f>100*Monatswerte!CH7/Erwerbspersonen!$C8</f>
        <v>3.2577509607191919</v>
      </c>
      <c r="CI7" s="21">
        <f>100*Monatswerte!CI7/Erwerbspersonen!$C8</f>
        <v>3.2125406458119601</v>
      </c>
      <c r="CJ7" s="21">
        <f>100*Monatswerte!CJ7/Erwerbspersonen!$C8</f>
        <v>3.1090785790050255</v>
      </c>
      <c r="CK7" s="21">
        <f>100*Monatswerte!CK7/Erwerbspersonen!$C8</f>
        <v>3.0038776539324279</v>
      </c>
      <c r="CL7" s="21">
        <f>100*Monatswerte!CL7/Erwerbspersonen!$C8</f>
        <v>2.7804343667947626</v>
      </c>
      <c r="CM7" s="21">
        <f>100*Monatswerte!CM7/Erwerbspersonen!$C8</f>
        <v>2.5935071032360151</v>
      </c>
      <c r="CN7" s="21">
        <f>100*Monatswerte!CN7/Erwerbspersonen!$C8</f>
        <v>2.5500356465944463</v>
      </c>
      <c r="CO7" s="21">
        <f>100*Monatswerte!CO7/Erwerbspersonen!$C8</f>
        <v>2.495261611226069</v>
      </c>
      <c r="CP7" s="21">
        <f>100*Monatswerte!CP7/Erwerbspersonen!$C8</f>
        <v>2.576987949712219</v>
      </c>
      <c r="CQ7" s="21">
        <f>100*Monatswerte!CQ7/Erwerbspersonen!$C8</f>
        <v>2.5917682449703525</v>
      </c>
      <c r="CR7" s="21">
        <f>100*Monatswerte!CR7/Erwerbspersonen!$C8</f>
        <v>2.6230676937522821</v>
      </c>
      <c r="CS7" s="21">
        <f>100*Monatswerte!CS7/Erwerbspersonen!$C8</f>
        <v>2.7152271818324087</v>
      </c>
      <c r="CT7" s="27">
        <f>100*Monatswerte!CT7/Erwerbspersonen!$C8</f>
        <v>2.8152115321080178</v>
      </c>
      <c r="CU7" s="21">
        <f>100*Monatswerte!CU7/Erwerbspersonen!$C8</f>
        <v>2.8543358430854302</v>
      </c>
      <c r="CV7" s="21">
        <f>100*Monatswerte!CV7/Erwerbspersonen!$C8</f>
        <v>2.8473804100227791</v>
      </c>
      <c r="CW7" s="21">
        <f>100*Monatswerte!CW7/Erwerbspersonen!$C8</f>
        <v>2.7343546227546991</v>
      </c>
      <c r="CX7" s="21">
        <f>100*Monatswerte!CX7/Erwerbspersonen!$C8</f>
        <v>2.7065328905040951</v>
      </c>
      <c r="CY7" s="21">
        <f>100*Monatswerte!CY7/Erwerbspersonen!$C8</f>
        <v>2.6743640125893338</v>
      </c>
      <c r="CZ7" s="21">
        <f>100*Monatswerte!CZ7/Erwerbspersonen!$C8</f>
        <v>2.656975429932706</v>
      </c>
      <c r="DA7" s="21">
        <f>100*Monatswerte!DA7/Erwerbspersonen!$C8</f>
        <v>2.7334851936218678</v>
      </c>
      <c r="DB7" s="21">
        <f>100*Monatswerte!DB7/Erwerbspersonen!$C8</f>
        <v>2.7978229494513904</v>
      </c>
      <c r="DC7" s="21">
        <f>100*Monatswerte!DC7/Erwerbspersonen!$C8</f>
        <v>2.7726095045992802</v>
      </c>
      <c r="DD7" s="21">
        <f>100*Monatswerte!DD7/Erwerbspersonen!$C8</f>
        <v>2.8473804100227791</v>
      </c>
      <c r="DE7" s="21">
        <f>100*Monatswerte!DE7/Erwerbspersonen!$C8</f>
        <v>2.9943139334712829</v>
      </c>
      <c r="DF7" s="27">
        <f>100*Monatswerte!DF7/Erwerbspersonen!$C8</f>
        <v>3.1142951538020136</v>
      </c>
      <c r="DG7" s="21">
        <f>100*Monatswerte!DG7/Erwerbspersonen!$C8</f>
        <v>3.2247126536715993</v>
      </c>
      <c r="DH7" s="21">
        <f>100*Monatswerte!DH7/Erwerbspersonen!$C8</f>
        <v>3.2229737954059363</v>
      </c>
      <c r="DI7" s="21">
        <f>100*Monatswerte!DI7/Erwerbspersonen!$C8</f>
        <v>3.135161452989967</v>
      </c>
      <c r="DJ7" s="21">
        <f>100*Monatswerte!DJ7/Erwerbspersonen!$C8</f>
        <v>3.0638682640977932</v>
      </c>
      <c r="DK7" s="21">
        <f>100*Monatswerte!DK7/Erwerbspersonen!$C8</f>
        <v>2.9751864925489921</v>
      </c>
      <c r="DL7" s="21">
        <f>100*Monatswerte!DL7/Erwerbspersonen!$C8</f>
        <v>2.9030238745239876</v>
      </c>
      <c r="DM7" s="21">
        <f>100*Monatswerte!DM7/Erwerbspersonen!$C8</f>
        <v>2.9473647602983881</v>
      </c>
      <c r="DN7" s="21">
        <f>100*Monatswerte!DN7/Erwerbspersonen!$C8</f>
        <v>2.8917212957971796</v>
      </c>
      <c r="DO7" s="21">
        <f>100*Monatswerte!DO7/Erwerbspersonen!$C8</f>
        <v>2.8412944060929592</v>
      </c>
      <c r="DP7" s="21">
        <f>100*Monatswerte!DP7/Erwerbspersonen!$C8</f>
        <v>2.9021544453911563</v>
      </c>
      <c r="DQ7" s="21">
        <f>100*Monatswerte!DQ7/Erwerbspersonen!$C8</f>
        <v>2.9456259020327251</v>
      </c>
      <c r="DR7" s="27">
        <f>100*Monatswerte!DR7/Erwerbspersonen!$C8</f>
        <v>2.9995305082682711</v>
      </c>
      <c r="DS7" s="21">
        <f>100*Monatswerte!DS7/Erwerbspersonen!$D8</f>
        <v>2.9910687002907257</v>
      </c>
      <c r="DT7" s="21">
        <f>100*Monatswerte!DT7/Erwerbspersonen!$D8</f>
        <v>2.9177325149946309</v>
      </c>
      <c r="DU7" s="21">
        <f>100*Monatswerte!DU7/Erwerbspersonen!$D8</f>
        <v>2.8557459774229317</v>
      </c>
      <c r="DV7" s="21">
        <f>100*Monatswerte!DV7/Erwerbspersonen!$D8</f>
        <v>2.8077282370504886</v>
      </c>
      <c r="DW7" s="21">
        <f>100*Monatswerte!DW7/Erwerbspersonen!$D8</f>
        <v>2.7274076531547657</v>
      </c>
      <c r="DX7" s="21">
        <f>100*Monatswerte!DX7/Erwerbspersonen!$D8</f>
        <v>2.7387573008791612</v>
      </c>
      <c r="DY7" s="21">
        <f>100*Monatswerte!DY7/Erwerbspersonen!$D8</f>
        <v>2.7736792938773016</v>
      </c>
      <c r="DZ7" s="21">
        <f>100*Monatswerte!DZ7/Erwerbspersonen!$D8</f>
        <v>2.6715324643577407</v>
      </c>
      <c r="EA7" s="21">
        <f>100*Monatswerte!EA7/Erwerbspersonen!$D8</f>
        <v>2.6217686243353908</v>
      </c>
      <c r="EB7" s="21">
        <f>100*Monatswerte!EB7/Erwerbspersonen!$D8</f>
        <v>2.60168847836146</v>
      </c>
      <c r="EC7" s="21">
        <f>100*Monatswerte!EC7/Erwerbspersonen!$D8</f>
        <v>2.6435948699592284</v>
      </c>
      <c r="ED7" s="21">
        <f>100*Monatswerte!ED7/Erwerbspersonen!$D8</f>
        <v>2.7920133402013252</v>
      </c>
      <c r="EE7" s="25">
        <f>100*Monatswerte!EE7/Erwerbspersonen!$D8</f>
        <v>2.771060144402441</v>
      </c>
      <c r="EF7" s="21">
        <f>100*Monatswerte!EF7/Erwerbspersonen!$D8</f>
        <v>2.7448686496538359</v>
      </c>
      <c r="EG7" s="21">
        <f>100*Monatswerte!EG7/Erwerbspersonen!$D8</f>
        <v>2.8190778847748841</v>
      </c>
      <c r="EH7" s="21">
        <f>100*Monatswerte!EH7/Erwerbspersonen!$D8</f>
        <v>2.8784452728717227</v>
      </c>
      <c r="EI7" s="21">
        <f>100*Monatswerte!EI7/Erwerbspersonen!$D8</f>
        <v>2.8435232798735823</v>
      </c>
      <c r="EJ7" s="21">
        <f>100*Monatswerte!EJ7/Erwerbspersonen!$D8</f>
        <v>2.9133672658698631</v>
      </c>
      <c r="EK7" s="21">
        <f>100*Monatswerte!EK7/Erwerbspersonen!$D8</f>
        <v>3.0024183480151212</v>
      </c>
      <c r="EL7" s="21">
        <f>100*Monatswerte!EL7/Erwerbspersonen!$D8</f>
        <v>3.0032913978400746</v>
      </c>
      <c r="EM7" s="21">
        <f>100*Monatswerte!EM7/Erwerbspersonen!$D8</f>
        <v>2.9788460027413763</v>
      </c>
      <c r="EN7" s="21">
        <f>100*Monatswerte!EN7/Erwerbspersonen!$D8</f>
        <v>3.041705590138029</v>
      </c>
      <c r="EO7" s="21">
        <f>100*Monatswerte!EO7/Erwerbspersonen!$D8</f>
        <v>3.1726630638810556</v>
      </c>
      <c r="EP7" s="21">
        <f>100*Monatswerte!EP7/Erwerbspersonen!$D8</f>
        <v>3.3298120323726876</v>
      </c>
      <c r="EQ7" s="25">
        <f>100*Monatswerte!EQ7/Erwerbspersonen!$D8</f>
        <v>3.3158432351734315</v>
      </c>
      <c r="ER7" s="21">
        <f>100*Monatswerte!ER7/Erwerbspersonen!$D8</f>
        <v>3.3210815341231523</v>
      </c>
      <c r="ES7" s="21">
        <f>100*Monatswerte!ES7/Erwerbspersonen!$D8</f>
        <v>3.3123510358736175</v>
      </c>
      <c r="ET7" s="21">
        <f>100*Monatswerte!ET7/Erwerbspersonen!$D8</f>
        <v>3.3010013881492215</v>
      </c>
      <c r="EU7" s="21">
        <f>100*Monatswerte!EU7/Erwerbspersonen!$D8</f>
        <v>3.289651740424826</v>
      </c>
      <c r="EV7" s="21">
        <f>100*Monatswerte!EV7/Erwerbspersonen!$D8</f>
        <v>3.2983822386743613</v>
      </c>
      <c r="EW7" s="21">
        <f>100*Monatswerte!EW7/Erwerbspersonen!$D8</f>
        <v>3.2721907439257558</v>
      </c>
      <c r="EX7" s="21">
        <f>100*Monatswerte!EX7/Erwerbspersonen!$D8</f>
        <v>3.330685082197641</v>
      </c>
      <c r="EY7" s="21">
        <f>100*Monatswerte!EY7/Erwerbspersonen!$D8</f>
        <v>3.3385425306222225</v>
      </c>
      <c r="EZ7" s="21">
        <f>100*Monatswerte!EZ7/Erwerbspersonen!$D8</f>
        <v>3.3193354344732455</v>
      </c>
      <c r="FA7" s="21">
        <f>100*Monatswerte!FA7/Erwerbspersonen!$D8</f>
        <v>3.364734025370828</v>
      </c>
      <c r="FB7" s="27">
        <f>100*Monatswerte!FB7/Erwerbspersonen!$D8</f>
        <v>3.42497446329262</v>
      </c>
      <c r="FC7" s="21">
        <f>100*Monatswerte!FC7/Erwerbspersonen!$E8</f>
        <v>3.4034413531048862</v>
      </c>
      <c r="FD7" s="21">
        <f>100*Monatswerte!FD7/Erwerbspersonen!$E8</f>
        <v>3.3603598169896345</v>
      </c>
      <c r="FE7" s="21">
        <f>100*Monatswerte!FE7/Erwerbspersonen!$E8</f>
        <v>3.3577749248227193</v>
      </c>
      <c r="FF7" s="21">
        <f>100*Monatswerte!FF7/Erwerbspersonen!$E8</f>
        <v>3.2440396694784548</v>
      </c>
      <c r="FG7" s="21">
        <f>100*Monatswerte!FG7/Erwerbspersonen!$E8</f>
        <v>3.1768324731386621</v>
      </c>
      <c r="FH7" s="21">
        <f>100*Monatswerte!FH7/Erwerbspersonen!$E8</f>
        <v>3.1415056135241559</v>
      </c>
      <c r="FI7" s="21">
        <f>100*Monatswerte!FI7/Erwerbspersonen!$E8</f>
        <v>3.2397315158669295</v>
      </c>
      <c r="FJ7" s="21">
        <f>100*Monatswerte!FJ7/Erwerbspersonen!$E8</f>
        <v>3.1975116104739829</v>
      </c>
      <c r="FK7" s="21">
        <f>100*Monatswerte!FK7/Erwerbspersonen!$E8</f>
        <v>3.1888953032509328</v>
      </c>
      <c r="FL7" s="21">
        <f>100*Monatswerte!FL7/Erwerbspersonen!$E8</f>
        <v>3.1328893063011054</v>
      </c>
      <c r="FM7" s="21">
        <f>100*Monatswerte!FM7/Erwerbspersonen!$E8</f>
        <v>3.1647696430263919</v>
      </c>
      <c r="FN7" s="21">
        <f>100*Monatswerte!FN7/Erwerbspersonen!$E8</f>
        <v>3.1647696430263919</v>
      </c>
      <c r="FO7" s="25">
        <f>100*Monatswerte!FO7/Erwerbspersonen!$E8</f>
        <v>3.1656312737486969</v>
      </c>
      <c r="FP7" s="21">
        <f>100*Monatswerte!FP7/Erwerbspersonen!$E8</f>
        <v>3.1354741984680206</v>
      </c>
      <c r="FQ7" s="21">
        <f>100*Monatswerte!FQ7/Erwerbspersonen!$E8</f>
        <v>3.0648204792390077</v>
      </c>
      <c r="FR7" s="21">
        <f>100*Monatswerte!FR7/Erwerbspersonen!$E8</f>
        <v>2.9786574070085043</v>
      </c>
      <c r="FS7" s="21">
        <f>100*Monatswerte!FS7/Erwerbspersonen!$E8</f>
        <v>2.8666454131088499</v>
      </c>
      <c r="FT7" s="21">
        <f>100*Monatswerte!FT7/Erwerbspersonen!$E8</f>
        <v>2.7847904944898714</v>
      </c>
      <c r="FU7" s="21">
        <f>100*Monatswerte!FU7/Erwerbspersonen!$E8</f>
        <v>2.8020231089359724</v>
      </c>
      <c r="FV7" s="21">
        <f>100*Monatswerte!FV7/Erwerbspersonen!$E8</f>
        <v>2.7546334192091955</v>
      </c>
      <c r="FW7" s="21">
        <f>100*Monatswerte!FW7/Erwerbspersonen!$E8</f>
        <v>2.7046588373155034</v>
      </c>
      <c r="FX7" s="21">
        <f>100*Monatswerte!FX7/Erwerbspersonen!$E8</f>
        <v>2.6994890529816731</v>
      </c>
      <c r="FY7" s="21">
        <f>100*Monatswerte!FY7/Erwerbspersonen!$E8</f>
        <v>2.7486020041530601</v>
      </c>
      <c r="FZ7" s="21">
        <f>100*Monatswerte!FZ7/Erwerbspersonen!$E8</f>
        <v>2.7761741872668213</v>
      </c>
      <c r="GA7" s="25">
        <f>100*Monatswerte!GA7/Erwerbspersonen!$E8</f>
        <v>2.74687874270845</v>
      </c>
      <c r="GB7" s="21">
        <f>100*Monatswerte!GB7/Erwerbspersonen!$E8</f>
        <v>2.674501762034827</v>
      </c>
      <c r="GC7" s="21">
        <f>100*Monatswerte!GC7/Erwerbspersonen!$E8</f>
        <v>2.5909235819712388</v>
      </c>
      <c r="GD7" s="21">
        <f>100*Monatswerte!GD7/Erwerbspersonen!$E8</f>
        <v>2.5254396470760563</v>
      </c>
      <c r="GE7" s="21">
        <f>100*Monatswerte!GE7/Erwerbspersonen!$E8</f>
        <v>2.4634022350700935</v>
      </c>
      <c r="GF7" s="21">
        <f>100*Monatswerte!GF7/Erwerbspersonen!$E8</f>
        <v>2.4504777742355182</v>
      </c>
      <c r="GG7" s="21">
        <f>100*Monatswerte!GG7/Erwerbspersonen!$E8</f>
        <v>2.5125151862414805</v>
      </c>
      <c r="GH7" s="21">
        <f>100*Monatswerte!GH7/Erwerbspersonen!$E8</f>
        <v>2.4496161435132131</v>
      </c>
      <c r="GI7" s="21">
        <f>100*Monatswerte!GI7/Erwerbspersonen!$E8</f>
        <v>2.4461696206239929</v>
      </c>
      <c r="GJ7" s="21">
        <f>100*Monatswerte!GJ7/Erwerbspersonen!$E8</f>
        <v>2.4642638657923985</v>
      </c>
      <c r="GK7" s="21">
        <f>100*Monatswerte!GK7/Erwerbspersonen!$E8</f>
        <v>2.5624897681351726</v>
      </c>
      <c r="GL7" s="21">
        <f>100*Monatswerte!GL7/Erwerbspersonen!$E8</f>
        <v>2.6512377325325911</v>
      </c>
      <c r="GM7" s="25">
        <f>100*Monatswerte!GM7/Erwerbspersonen!$F8</f>
        <v>2.7394532073429434</v>
      </c>
      <c r="GN7" s="21">
        <f>100*Monatswerte!GN7/Erwerbspersonen!$F8</f>
        <v>2.6700549123858957</v>
      </c>
      <c r="GO7" s="21">
        <f>100*Monatswerte!GO7/Erwerbspersonen!$F8</f>
        <v>3.0099286133293854</v>
      </c>
      <c r="GP7" s="21">
        <f>100*Monatswerte!GP7/Erwerbspersonen!$F8</f>
        <v>3.3222209406360999</v>
      </c>
      <c r="GQ7" s="21">
        <f>100*Monatswerte!GQ7/Erwerbspersonen!$F8</f>
        <v>3.4610175305501949</v>
      </c>
      <c r="GR7" s="21">
        <f>100*Monatswerte!GR7/Erwerbspersonen!$F8</f>
        <v>3.5837991293203562</v>
      </c>
      <c r="GS7" s="21">
        <f>100*Monatswerte!GS7/Erwerbspersonen!$F8</f>
        <v>3.7412798755690408</v>
      </c>
      <c r="GT7" s="21">
        <f>100*Monatswerte!GT7/Erwerbspersonen!$F8</f>
        <v>3.6727713023422122</v>
      </c>
      <c r="GU7" s="21">
        <f>100*Monatswerte!GU7/Erwerbspersonen!$F8</f>
        <v>3.6309543810219398</v>
      </c>
      <c r="GV7" s="21">
        <f>100*Monatswerte!GV7/Erwerbspersonen!$F8</f>
        <v>3.6692124154213377</v>
      </c>
      <c r="GW7" s="21">
        <f>100*Monatswerte!GW7/Erwerbspersonen!$F8</f>
        <v>3.7759790230475647</v>
      </c>
      <c r="GX7" s="27">
        <f>100*Monatswerte!GX7/Erwerbspersonen!$F8</f>
        <v>3.8818559089435731</v>
      </c>
      <c r="GY7" s="21">
        <f>100*Monatswerte!GY7/Erwerbspersonen!$F8</f>
        <v>3.852495091846361</v>
      </c>
      <c r="GZ7" s="21">
        <f>100*Monatswerte!GZ7/Erwerbspersonen!$F8</f>
        <v>3.8400389876233012</v>
      </c>
      <c r="HA7" s="21">
        <f>100*Monatswerte!HA7/Erwerbspersonen!$F8</f>
        <v>3.7875454055404059</v>
      </c>
      <c r="HB7" s="21">
        <f>100*Monatswerte!HB7/Erwerbspersonen!$F8</f>
        <v>3.6985732325185503</v>
      </c>
      <c r="HC7" s="21">
        <f>100*Monatswerte!HC7/Erwerbspersonen!$F8</f>
        <v>3.6202777202593168</v>
      </c>
      <c r="HD7" s="21">
        <f>100*Monatswerte!HD7/Erwerbspersonen!$F8</f>
        <v>3.5250774951259309</v>
      </c>
      <c r="HE7" s="21">
        <f>100*Monatswerte!HE7/Erwerbspersonen!$F8</f>
        <v>3.3996267311651143</v>
      </c>
      <c r="HF7" s="21">
        <f>100*Monatswerte!HF7/Erwerbspersonen!$F8</f>
        <v>3.2688376368229863</v>
      </c>
      <c r="HG7" s="21">
        <f>100*Monatswerte!HG7/Erwerbspersonen!$F8</f>
        <v>3.1656299161176333</v>
      </c>
      <c r="HH7" s="21">
        <f>100*Monatswerte!HH7/Erwerbspersonen!$F8</f>
        <v>3.1158054992253938</v>
      </c>
      <c r="HI7" s="21">
        <f>100*Monatswerte!HI7/Erwerbspersonen!$F8</f>
        <v>3.1878729593730974</v>
      </c>
      <c r="HJ7" s="21">
        <f>100*Monatswerte!HJ7/Erwerbspersonen!$F8</f>
        <v>3.170078524768726</v>
      </c>
      <c r="HK7" s="60">
        <f>100*Monatswerte!HK7/Erwerbspersonen!$F8</f>
        <v>3.1015699515418969</v>
      </c>
      <c r="HL7" s="3">
        <f>100*Monatswerte!HL7/Erwerbspersonen!$F8</f>
        <v>3.0401791521568162</v>
      </c>
      <c r="HM7" s="3">
        <f>100*Monatswerte!HM7/Erwerbspersonen!$F8</f>
        <v>2.9538761443256161</v>
      </c>
      <c r="HN7" s="3">
        <f>100*Monatswerte!HN7/Erwerbspersonen!$F8</f>
        <v>2.8061823371093353</v>
      </c>
      <c r="HO7" s="3">
        <f>100*Monatswerte!HO7/Erwerbspersonen!$F8</f>
        <v>2.6736137993067701</v>
      </c>
      <c r="HP7" s="3">
        <f>100*Monatswerte!HP7/Erwerbspersonen!$F8</f>
        <v>2.5944285653173185</v>
      </c>
      <c r="HQ7" s="3">
        <f>100*Monatswerte!HQ7/Erwerbspersonen!$F8</f>
        <v>2.5650677482201059</v>
      </c>
      <c r="HR7" s="3">
        <f>100*Monatswerte!HR7/Erwerbspersonen!$F8</f>
        <v>2.4778750186586871</v>
      </c>
      <c r="HS7" s="3">
        <f>100*Monatswerte!HS7/Erwerbspersonen!$F8</f>
        <v>2.3675495241115856</v>
      </c>
      <c r="HT7" s="3">
        <f>100*Monatswerte!HT7/Erwerbspersonen!$F8</f>
        <v>2.3631009154604929</v>
      </c>
      <c r="HU7" s="3">
        <f>100*Monatswerte!HU7/Erwerbspersonen!$F8</f>
        <v>2.3497550895072146</v>
      </c>
      <c r="HV7" s="64">
        <f>100*Monatswerte!HV7/Erwerbspersonen!$F8</f>
        <v>2.3221737158704392</v>
      </c>
      <c r="HW7" s="3">
        <f>100*[5]Monatswerte!HW7/[5]Erwerbspersonen!$F8</f>
        <v>2.2874745683919153</v>
      </c>
      <c r="HX7" s="3">
        <f>100*[5]Monatswerte!HX7/[5]Erwerbspersonen!$F8</f>
        <v>2.2679006903271071</v>
      </c>
      <c r="HY7" s="3">
        <f>100*[5]Monatswerte!HY7/[5]Erwerbspersonen!$F8</f>
        <v>2.2376501514996763</v>
      </c>
      <c r="HZ7" s="3">
        <f>100*[5]Monatswerte!HZ7/[5]Erwerbspersonen!$F8</f>
        <v>2.1549060305893502</v>
      </c>
      <c r="IA7" s="3">
        <f>100*[5]Monatswerte!IA7/[5]Erwerbspersonen!$F8</f>
        <v>2.0908460660136137</v>
      </c>
      <c r="IB7" s="3">
        <f>100*[5]Monatswerte!IB7/[5]Erwerbspersonen!$F8</f>
        <v>2.0694927444883686</v>
      </c>
      <c r="IC7" s="3">
        <f>100*[5]Monatswerte!IC7/[5]Erwerbspersonen!$F8</f>
        <v>2.16113408270088</v>
      </c>
      <c r="ID7" s="3">
        <f>100*[5]Monatswerte!ID7/[5]Erwerbspersonen!$F8</f>
        <v>2.1228760483014821</v>
      </c>
      <c r="IE7" s="3">
        <f>100*[5]Monatswerte!IE7/[5]Erwerbspersonen!$F8</f>
        <v>2.072161909679024</v>
      </c>
      <c r="IF7" s="3">
        <f>100*[5]Monatswerte!IF7/[5]Erwerbspersonen!$F8</f>
        <v>2.104191891966892</v>
      </c>
      <c r="IG7" s="3">
        <f>100*[5]Monatswerte!IG7/[5]Erwerbspersonen!$F8</f>
        <v>2.2198557168953048</v>
      </c>
      <c r="IH7" s="3">
        <f>100*[5]Monatswerte!IH7/[5]Erwerbspersonen!$F8</f>
        <v>2.2509959774529547</v>
      </c>
      <c r="II7" s="60">
        <f>100*[6]Monatswerte!II7/[6]Erwerbspersonen!$G8</f>
        <v>2.3327130643840626</v>
      </c>
      <c r="IJ7" s="3">
        <f>100*[6]Monatswerte!IJ7/[6]Erwerbspersonen!$G8</f>
        <v>2.3899854428159393</v>
      </c>
      <c r="IK7" s="3">
        <f>100*[6]Monatswerte!IK7/[6]Erwerbspersonen!$G8</f>
        <v>2.3490766010788842</v>
      </c>
      <c r="IL7" s="3">
        <f>100*[6]Monatswerte!IL7/[6]Erwerbspersonen!$G8</f>
        <v>2.3654401377737062</v>
      </c>
      <c r="IM7" s="3">
        <f>100*[6]Monatswerte!IM7/[6]Erwerbspersonen!$G8</f>
        <v>2.3908945281878737</v>
      </c>
      <c r="IN7" s="3">
        <f>100*[6]Monatswerte!IN7/[6]Erwerbspersonen!$G8</f>
        <v>2.4181670893459102</v>
      </c>
      <c r="IO7" s="3">
        <f>100*[6]Monatswerte!IO7/[6]Erwerbspersonen!$G8</f>
        <v>2.5127119680271037</v>
      </c>
      <c r="IP7" s="3">
        <f>100*[6]Monatswerte!IP7/[6]Erwerbspersonen!$G8</f>
        <v>2.4990756874480855</v>
      </c>
      <c r="IQ7" s="3">
        <f>100*[6]Monatswerte!IQ7/[6]Erwerbspersonen!$G8</f>
        <v>2.5645298342273732</v>
      </c>
      <c r="IR7" s="3">
        <f>100*[6]Monatswerte!IR7/[6]Erwerbspersonen!$G8</f>
        <v>2.6663473958840433</v>
      </c>
      <c r="IS7" s="3">
        <f>100*[6]Monatswerte!IS7/[6]Erwerbspersonen!$G8</f>
        <v>2.7627104453091058</v>
      </c>
      <c r="IT7" s="3">
        <f>100*[6]Monatswerte!IT7/[6]Erwerbspersonen!$G8</f>
        <v>2.8554371532464304</v>
      </c>
      <c r="IU7" s="60">
        <f>100*[7]Monatswerte!IU7/[7]Erwerbspersonen!$G8</f>
        <v>2.9372548367205402</v>
      </c>
      <c r="IV7" s="3">
        <f>100*[7]Monatswerte!IV7/[7]Erwerbspersonen!$G8</f>
        <v>2.9572547149031001</v>
      </c>
      <c r="IW7" s="3">
        <f>100*[7]Monatswerte!IW7/[7]Erwerbspersonen!$G8</f>
        <v>3.0172543494507806</v>
      </c>
      <c r="IX7" s="3">
        <f>100*[7]Monatswerte!IX7/[7]Erwerbspersonen!$G8</f>
        <v>2.9963453858962859</v>
      </c>
      <c r="IY7" s="3">
        <f>100*[7]Monatswerte!IY7/[7]Erwerbspersonen!$G8</f>
        <v>2.9745273369698566</v>
      </c>
      <c r="IZ7" s="3">
        <f>100*[7]Monatswerte!IZ7/[7]Erwerbspersonen!$G8</f>
        <v>3.0563450204439664</v>
      </c>
      <c r="JA7" s="3">
        <f>100*[7]Monatswerte!JA7/[7]Erwerbspersonen!$G8</f>
        <v>3.1245264233390579</v>
      </c>
      <c r="JB7" s="3">
        <f>100*[7]Monatswerte!JB7/[7]Erwerbspersonen!$G8</f>
        <v>3.1699806919357854</v>
      </c>
      <c r="JC7" s="3">
        <f>100*[7]Monatswerte!JC7/[7]Erwerbspersonen!$G8</f>
        <v>3.1872533140025419</v>
      </c>
      <c r="JD7" s="3">
        <f>100*[7]Monatswerte!JD7/[7]Erwerbspersonen!$G8</f>
        <v>3.2736164243363244</v>
      </c>
      <c r="JE7" s="3">
        <f>100*[7]Monatswerte!JE7/[7]Erwerbspersonen!$G8</f>
        <v>3.3036162416101646</v>
      </c>
      <c r="JF7" s="3">
        <f>100*[7]Monatswerte!JF7/[7]Erwerbspersonen!$G8</f>
        <v>3.358161363926238</v>
      </c>
      <c r="JG7" s="60">
        <f>100*[7]Monatswerte!JG7/[7]Erwerbspersonen!$G8</f>
        <v>3.400888376407162</v>
      </c>
      <c r="JH7" s="3">
        <f>100*[7]Monatswerte!JH7/[7]Erwerbspersonen!$G8</f>
        <v>3.3590704492981724</v>
      </c>
      <c r="JI7" s="3">
        <f>100*[7]Monatswerte!JI7/[7]Erwerbspersonen!$G8</f>
        <v>3.3636158761578452</v>
      </c>
    </row>
    <row r="8" spans="1:269" s="1" customFormat="1" x14ac:dyDescent="0.2">
      <c r="A8" s="1" t="s">
        <v>5</v>
      </c>
      <c r="B8" s="1">
        <v>6</v>
      </c>
      <c r="C8" s="21">
        <f>100*Monatswerte!C8/Erwerbspersonen!$B9</f>
        <v>13.437255789084029</v>
      </c>
      <c r="D8" s="21">
        <f>100*Monatswerte!D8/Erwerbspersonen!$B9</f>
        <v>13.466046970756386</v>
      </c>
      <c r="E8" s="21">
        <f>100*Monatswerte!E8/Erwerbspersonen!$B9</f>
        <v>13.260395673096697</v>
      </c>
      <c r="F8" s="21">
        <f>100*Monatswerte!F8/Erwerbspersonen!$B9</f>
        <v>12.894336363262452</v>
      </c>
      <c r="G8" s="21">
        <f>100*Monatswerte!G8/Erwerbspersonen!$B9</f>
        <v>12.491259819849462</v>
      </c>
      <c r="H8" s="21">
        <f>100*Monatswerte!H8/Erwerbspersonen!$B9</f>
        <v>12.178669847406738</v>
      </c>
      <c r="I8" s="21">
        <f>100*Monatswerte!I8/Erwerbspersonen!$B9</f>
        <v>11.931888290215111</v>
      </c>
      <c r="J8" s="21">
        <f>100*Monatswerte!J8/Erwerbspersonen!$B9</f>
        <v>12.2033480031259</v>
      </c>
      <c r="K8" s="21">
        <f>100*Monatswerte!K8/Erwerbspersonen!$B9</f>
        <v>12.096409328342862</v>
      </c>
      <c r="L8" s="21">
        <f>100*Monatswerte!L8/Erwerbspersonen!$B9</f>
        <v>11.853740797104429</v>
      </c>
      <c r="M8" s="21">
        <f>100*Monatswerte!M8/Erwerbspersonen!$B9</f>
        <v>12.162217743593962</v>
      </c>
      <c r="N8" s="27">
        <f>100*Monatswerte!N8/Erwerbspersonen!$B9</f>
        <v>12.413112326738782</v>
      </c>
      <c r="O8" s="21">
        <f>100*Monatswerte!O8/Erwerbspersonen!$B9</f>
        <v>12.363756015300456</v>
      </c>
      <c r="P8" s="21">
        <f>100*Monatswerte!P8/Erwerbspersonen!$B9</f>
        <v>12.491259819849462</v>
      </c>
      <c r="Q8" s="21">
        <f>100*Monatswerte!Q8/Erwerbspersonen!$B9</f>
        <v>12.228026158845063</v>
      </c>
      <c r="R8" s="21">
        <f>100*Monatswerte!R8/Erwerbspersonen!$B9</f>
        <v>11.91954921235553</v>
      </c>
      <c r="S8" s="21">
        <f>100*Monatswerte!S8/Erwerbspersonen!$B9</f>
        <v>11.775593303993748</v>
      </c>
      <c r="T8" s="21">
        <f>100*Monatswerte!T8/Erwerbspersonen!$B9</f>
        <v>11.59050713610003</v>
      </c>
      <c r="U8" s="21">
        <f>100*Monatswerte!U8/Erwerbspersonen!$B9</f>
        <v>11.434212149878666</v>
      </c>
      <c r="V8" s="21">
        <f>100*Monatswerte!V8/Erwerbspersonen!$B9</f>
        <v>11.43832517583186</v>
      </c>
      <c r="W8" s="21">
        <f>100*Monatswerte!W8/Erwerbspersonen!$B9</f>
        <v>11.257352033891333</v>
      </c>
      <c r="X8" s="21">
        <f>100*Monatswerte!X8/Erwerbspersonen!$B9</f>
        <v>11.323160449142435</v>
      </c>
      <c r="Y8" s="21">
        <f>100*Monatswerte!Y8/Erwerbspersonen!$B9</f>
        <v>11.561715954427672</v>
      </c>
      <c r="Z8" s="27">
        <f>100*Monatswerte!Z8/Erwerbspersonen!$B9</f>
        <v>11.631637395631966</v>
      </c>
      <c r="AA8" s="21">
        <f>100*Monatswerte!AA8/Erwerbspersonen!$B9</f>
        <v>11.722123966602229</v>
      </c>
      <c r="AB8" s="21">
        <f>100*Monatswerte!AB8/Erwerbspersonen!$B9</f>
        <v>11.495907539176573</v>
      </c>
      <c r="AC8" s="21">
        <f>100*Monatswerte!AC8/Erwerbspersonen!$B9</f>
        <v>11.421873072019084</v>
      </c>
      <c r="AD8" s="21">
        <f>100*Monatswerte!AD8/Erwerbspersonen!$B9</f>
        <v>10.907744827869864</v>
      </c>
      <c r="AE8" s="21">
        <f>100*Monatswerte!AE8/Erwerbspersonen!$B9</f>
        <v>10.455311973018549</v>
      </c>
      <c r="AF8" s="21">
        <f>100*Monatswerte!AF8/Erwerbspersonen!$B9</f>
        <v>10.216756467733312</v>
      </c>
      <c r="AG8" s="21">
        <f>100*Monatswerte!AG8/Erwerbspersonen!$B9</f>
        <v>10.027557273886398</v>
      </c>
      <c r="AH8" s="21">
        <f>100*Monatswerte!AH8/Erwerbspersonen!$B9</f>
        <v>10.224982519639699</v>
      </c>
      <c r="AI8" s="21">
        <f>100*Monatswerte!AI8/Erwerbspersonen!$B9</f>
        <v>10.113930818903468</v>
      </c>
      <c r="AJ8" s="21">
        <f>100*Monatswerte!AJ8/Erwerbspersonen!$B9</f>
        <v>9.9411837288693299</v>
      </c>
      <c r="AK8" s="21">
        <f>100*Monatswerte!AK8/Erwerbspersonen!$B9</f>
        <v>10.081026611277917</v>
      </c>
      <c r="AL8" s="27">
        <f>100*Monatswerte!AL8/Erwerbspersonen!$B9</f>
        <v>10.278451857031218</v>
      </c>
      <c r="AM8" s="21">
        <f>100*Monatswerte!AM8/Erwerbspersonen!$B9</f>
        <v>10.30313001275038</v>
      </c>
      <c r="AN8" s="21">
        <f>100*Monatswerte!AN8/Erwerbspersonen!$B9</f>
        <v>10.290790934890799</v>
      </c>
      <c r="AO8" s="21">
        <f>100*Monatswerte!AO8/Erwerbspersonen!$B9</f>
        <v>10.076913585324723</v>
      </c>
      <c r="AP8" s="21">
        <f>100*Monatswerte!AP8/Erwerbspersonen!$B9</f>
        <v>9.793114794554354</v>
      </c>
      <c r="AQ8" s="21">
        <f>100*Monatswerte!AQ8/Erwerbspersonen!$B9</f>
        <v>9.6902891457245097</v>
      </c>
      <c r="AR8" s="21">
        <f>100*Monatswerte!AR8/Erwerbspersonen!$B9</f>
        <v>9.4064903549541405</v>
      </c>
      <c r="AS8" s="21">
        <f>100*Monatswerte!AS8/Erwerbspersonen!$B9</f>
        <v>9.5463332373627274</v>
      </c>
      <c r="AT8" s="21">
        <f>100*Monatswerte!AT8/Erwerbspersonen!$B9</f>
        <v>9.5504462633159211</v>
      </c>
      <c r="AU8" s="21">
        <f>100*Monatswerte!AU8/Erwerbspersonen!$B9</f>
        <v>9.3365689137498453</v>
      </c>
      <c r="AV8" s="21">
        <f>100*Monatswerte!AV8/Erwerbspersonen!$B9</f>
        <v>9.1967260313412584</v>
      </c>
      <c r="AW8" s="21">
        <f>100*Monatswerte!AW8/Erwerbspersonen!$B9</f>
        <v>9.3324558877966517</v>
      </c>
      <c r="AX8" s="27">
        <f>100*Monatswerte!AX8/Erwerbspersonen!$B9</f>
        <v>9.5257681075967593</v>
      </c>
      <c r="AY8" s="21">
        <f>100*Monatswerte!AY8/Erwerbspersonen!$C9</f>
        <v>8.3627962334161801</v>
      </c>
      <c r="AZ8" s="21">
        <f>100*Monatswerte!AZ8/Erwerbspersonen!$C9</f>
        <v>8.0057408898379254</v>
      </c>
      <c r="BA8" s="21">
        <f>100*Monatswerte!BA8/Erwerbspersonen!$C9</f>
        <v>7.8762208142262047</v>
      </c>
      <c r="BB8" s="21">
        <f>100*Monatswerte!BB8/Erwerbspersonen!$C9</f>
        <v>7.8132110477123957</v>
      </c>
      <c r="BC8" s="21">
        <f>100*Monatswerte!BC8/Erwerbspersonen!$C9</f>
        <v>7.3931459376203312</v>
      </c>
      <c r="BD8" s="21">
        <f>100*Monatswerte!BD8/Erwerbspersonen!$C9</f>
        <v>7.183113382574299</v>
      </c>
      <c r="BE8" s="21">
        <f>100*Monatswerte!BE8/Erwerbspersonen!$C9</f>
        <v>7.1761122974060978</v>
      </c>
      <c r="BF8" s="21">
        <f>100*Monatswerte!BF8/Erwerbspersonen!$C9</f>
        <v>7.3476388840270239</v>
      </c>
      <c r="BG8" s="21">
        <f>100*Monatswerte!BG8/Erwerbspersonen!$C9</f>
        <v>7.4981622151433474</v>
      </c>
      <c r="BH8" s="21">
        <f>100*Monatswerte!BH8/Erwerbspersonen!$C9</f>
        <v>7.7151958553575808</v>
      </c>
      <c r="BI8" s="21">
        <f>100*Monatswerte!BI8/Erwerbspersonen!$C9</f>
        <v>8.1352609654496444</v>
      </c>
      <c r="BJ8" s="27">
        <f>100*Monatswerte!BJ8/Erwerbspersonen!$C9</f>
        <v>8.8143662267651486</v>
      </c>
      <c r="BK8" s="21">
        <f>100*Monatswerte!BK8/Erwerbspersonen!$C9</f>
        <v>9.3779535828053344</v>
      </c>
      <c r="BL8" s="21">
        <f>100*Monatswerte!BL8/Erwerbspersonen!$C9</f>
        <v>9.8120208632338013</v>
      </c>
      <c r="BM8" s="21">
        <f>100*Monatswerte!BM8/Erwerbspersonen!$C9</f>
        <v>10.221584345573564</v>
      </c>
      <c r="BN8" s="21">
        <f>100*Monatswerte!BN8/Erwerbspersonen!$C9</f>
        <v>10.298596282423775</v>
      </c>
      <c r="BO8" s="21">
        <f>100*Monatswerte!BO8/Erwerbspersonen!$C9</f>
        <v>10.431616900619597</v>
      </c>
      <c r="BP8" s="21">
        <f>100*Monatswerte!BP8/Erwerbspersonen!$C9</f>
        <v>11.037210767668988</v>
      </c>
      <c r="BQ8" s="21">
        <f>100*Monatswerte!BQ8/Erwerbspersonen!$C9</f>
        <v>11.257744950467323</v>
      </c>
      <c r="BR8" s="21">
        <f>100*Monatswerte!BR8/Erwerbspersonen!$C9</f>
        <v>11.397766653831344</v>
      </c>
      <c r="BS8" s="21">
        <f>100*Monatswerte!BS8/Erwerbspersonen!$C9</f>
        <v>11.635803549550181</v>
      </c>
      <c r="BT8" s="21">
        <f>100*Monatswerte!BT8/Erwerbspersonen!$C9</f>
        <v>11.821332306507509</v>
      </c>
      <c r="BU8" s="21">
        <f>100*Monatswerte!BU8/Erwerbspersonen!$C9</f>
        <v>12.118878426156055</v>
      </c>
      <c r="BV8" s="27">
        <f>100*Monatswerte!BV8/Erwerbspersonen!$C9</f>
        <v>12.703469037700843</v>
      </c>
      <c r="BW8" s="21">
        <f>100*Monatswerte!BW8/Erwerbspersonen!$C9</f>
        <v>12.776980431966955</v>
      </c>
      <c r="BX8" s="21">
        <f>100*Monatswerte!BX8/Erwerbspersonen!$C9</f>
        <v>12.752476633878251</v>
      </c>
      <c r="BY8" s="21">
        <f>100*Monatswerte!BY8/Erwerbspersonen!$C9</f>
        <v>12.535442993664018</v>
      </c>
      <c r="BZ8" s="21">
        <f>100*Monatswerte!BZ8/Erwerbspersonen!$C9</f>
        <v>11.919347498862324</v>
      </c>
      <c r="CA8" s="21">
        <f>100*Monatswerte!CA8/Erwerbspersonen!$C9</f>
        <v>11.397766653831344</v>
      </c>
      <c r="CB8" s="21">
        <f>100*Monatswerte!CB8/Erwerbspersonen!$C9</f>
        <v>11.093219449014597</v>
      </c>
      <c r="CC8" s="21">
        <f>100*Monatswerte!CC8/Erwerbspersonen!$C9</f>
        <v>10.893688521720867</v>
      </c>
      <c r="CD8" s="21">
        <f>100*Monatswerte!CD8/Erwerbspersonen!$C9</f>
        <v>10.750166275772745</v>
      </c>
      <c r="CE8" s="21">
        <f>100*Monatswerte!CE8/Erwerbspersonen!$C9</f>
        <v>10.368607134105787</v>
      </c>
      <c r="CF8" s="21">
        <f>100*Monatswerte!CF8/Erwerbspersonen!$C9</f>
        <v>10.344103336017083</v>
      </c>
      <c r="CG8" s="21">
        <f>100*Monatswerte!CG8/Erwerbspersonen!$C9</f>
        <v>10.158574579059755</v>
      </c>
      <c r="CH8" s="27">
        <f>100*Monatswerte!CH8/Erwerbspersonen!$C9</f>
        <v>10.312598452760177</v>
      </c>
      <c r="CI8" s="21">
        <f>100*Monatswerte!CI8/Erwerbspersonen!$C9</f>
        <v>10.12356915321875</v>
      </c>
      <c r="CJ8" s="21">
        <f>100*Monatswerte!CJ8/Erwerbspersonen!$C9</f>
        <v>9.7070045857107843</v>
      </c>
      <c r="CK8" s="21">
        <f>100*Monatswerte!CK8/Erwerbspersonen!$C9</f>
        <v>9.3849546679735365</v>
      </c>
      <c r="CL8" s="21">
        <f>100*Monatswerte!CL8/Erwerbspersonen!$C9</f>
        <v>8.4468092554345926</v>
      </c>
      <c r="CM8" s="21">
        <f>100*Monatswerte!CM8/Erwerbspersonen!$C9</f>
        <v>7.9392305807400145</v>
      </c>
      <c r="CN8" s="21">
        <f>100*Monatswerte!CN8/Erwerbspersonen!$C9</f>
        <v>7.8027094199600935</v>
      </c>
      <c r="CO8" s="21">
        <f>100*Monatswerte!CO8/Erwerbspersonen!$C9</f>
        <v>7.3406377988588227</v>
      </c>
      <c r="CP8" s="21">
        <f>100*Monatswerte!CP8/Erwerbspersonen!$C9</f>
        <v>7.4106486505408338</v>
      </c>
      <c r="CQ8" s="21">
        <f>100*Monatswerte!CQ8/Erwerbspersonen!$C9</f>
        <v>7.2986312878496165</v>
      </c>
      <c r="CR8" s="21">
        <f>100*Monatswerte!CR8/Erwerbspersonen!$C9</f>
        <v>7.3266356285224212</v>
      </c>
      <c r="CS8" s="21">
        <f>100*Monatswerte!CS8/Erwerbspersonen!$C9</f>
        <v>7.9147267826513108</v>
      </c>
      <c r="CT8" s="27">
        <f>100*Monatswerte!CT8/Erwerbspersonen!$C9</f>
        <v>8.4013022018412862</v>
      </c>
      <c r="CU8" s="21">
        <f>100*Monatswerte!CU8/Erwerbspersonen!$C9</f>
        <v>8.488815766443798</v>
      </c>
      <c r="CV8" s="21">
        <f>100*Monatswerte!CV8/Erwerbspersonen!$C9</f>
        <v>8.5413239052053065</v>
      </c>
      <c r="CW8" s="21">
        <f>100*Monatswerte!CW8/Erwerbspersonen!$C9</f>
        <v>8.2997864669023702</v>
      </c>
      <c r="CX8" s="21">
        <f>100*Monatswerte!CX8/Erwerbspersonen!$C9</f>
        <v>8.1632653061224492</v>
      </c>
      <c r="CY8" s="21">
        <f>100*Monatswerte!CY8/Erwerbspersonen!$C9</f>
        <v>7.9392305807400145</v>
      </c>
      <c r="CZ8" s="21">
        <f>100*Monatswerte!CZ8/Erwerbspersonen!$C9</f>
        <v>7.8517170161375009</v>
      </c>
      <c r="DA8" s="21">
        <f>100*Monatswerte!DA8/Erwerbspersonen!$C9</f>
        <v>7.7291980256939823</v>
      </c>
      <c r="DB8" s="21">
        <f>100*Monatswerte!DB8/Erwerbspersonen!$C9</f>
        <v>7.8937235271467081</v>
      </c>
      <c r="DC8" s="21">
        <f>100*Monatswerte!DC8/Erwerbspersonen!$C9</f>
        <v>8.0127419750061257</v>
      </c>
      <c r="DD8" s="21">
        <f>100*Monatswerte!DD8/Erwerbspersonen!$C9</f>
        <v>8.3347918927433753</v>
      </c>
      <c r="DE8" s="21">
        <f>100*Monatswerte!DE8/Erwerbspersonen!$C9</f>
        <v>8.9403857597927683</v>
      </c>
      <c r="DF8" s="27">
        <f>100*Monatswerte!DF8/Erwerbspersonen!$C9</f>
        <v>9.5494801694262605</v>
      </c>
      <c r="DG8" s="21">
        <f>100*Monatswerte!DG8/Erwerbspersonen!$C9</f>
        <v>9.8400252039066061</v>
      </c>
      <c r="DH8" s="21">
        <f>100*Monatswerte!DH8/Erwerbspersonen!$C9</f>
        <v>9.7210067560471867</v>
      </c>
      <c r="DI8" s="21">
        <f>100*Monatswerte!DI8/Erwerbspersonen!$C9</f>
        <v>9.4129590086463395</v>
      </c>
      <c r="DJ8" s="21">
        <f>100*Monatswerte!DJ8/Erwerbspersonen!$C9</f>
        <v>9.199425911016208</v>
      </c>
      <c r="DK8" s="21">
        <f>100*Monatswerte!DK8/Erwerbspersonen!$C9</f>
        <v>8.9508873875450696</v>
      </c>
      <c r="DL8" s="21">
        <f>100*Monatswerte!DL8/Erwerbspersonen!$C9</f>
        <v>8.8563727377743557</v>
      </c>
      <c r="DM8" s="21">
        <f>100*Monatswerte!DM8/Erwerbspersonen!$C9</f>
        <v>8.7968635138446452</v>
      </c>
      <c r="DN8" s="21">
        <f>100*Monatswerte!DN8/Erwerbspersonen!$C9</f>
        <v>8.7513564602513387</v>
      </c>
      <c r="DO8" s="21">
        <f>100*Monatswerte!DO8/Erwerbspersonen!$C9</f>
        <v>8.6358385549760222</v>
      </c>
      <c r="DP8" s="21">
        <f>100*Monatswerte!DP8/Erwerbspersonen!$C9</f>
        <v>8.9578884727132699</v>
      </c>
      <c r="DQ8" s="21">
        <f>100*Monatswerte!DQ8/Erwerbspersonen!$C9</f>
        <v>9.3674519550530331</v>
      </c>
      <c r="DR8" s="27">
        <f>100*Monatswerte!DR8/Erwerbspersonen!$C9</f>
        <v>9.6089893933559694</v>
      </c>
      <c r="DS8" s="21">
        <f>100*Monatswerte!DS8/Erwerbspersonen!$D9</f>
        <v>8.6776728059293191</v>
      </c>
      <c r="DT8" s="21">
        <f>100*Monatswerte!DT8/Erwerbspersonen!$D9</f>
        <v>8.6458631548811908</v>
      </c>
      <c r="DU8" s="21">
        <f>100*Monatswerte!DU8/Erwerbspersonen!$D9</f>
        <v>8.4359194579635464</v>
      </c>
      <c r="DV8" s="21">
        <f>100*Monatswerte!DV8/Erwerbspersonen!$D9</f>
        <v>8.1305468079015171</v>
      </c>
      <c r="DW8" s="21">
        <f>100*Monatswerte!DW8/Erwerbspersonen!$D9</f>
        <v>7.8824315297261185</v>
      </c>
      <c r="DX8" s="21">
        <f>100*Monatswerte!DX8/Erwerbspersonen!$D9</f>
        <v>7.6406781817603457</v>
      </c>
      <c r="DY8" s="21">
        <f>100*Monatswerte!DY8/Erwerbspersonen!$D9</f>
        <v>7.4243725546330754</v>
      </c>
      <c r="DZ8" s="21">
        <f>100*Monatswerte!DZ8/Erwerbspersonen!$D9</f>
        <v>7.2526004389731842</v>
      </c>
      <c r="EA8" s="21">
        <f>100*Monatswerte!EA8/Erwerbspersonen!$D9</f>
        <v>7.2748671947068742</v>
      </c>
      <c r="EB8" s="21">
        <f>100*Monatswerte!EB8/Erwerbspersonen!$D9</f>
        <v>7.3225816712790657</v>
      </c>
      <c r="EC8" s="21">
        <f>100*Monatswerte!EC8/Erwerbspersonen!$D9</f>
        <v>7.6629449374940357</v>
      </c>
      <c r="ED8" s="21">
        <f>100*Monatswerte!ED8/Erwerbspersonen!$D9</f>
        <v>8.0319368896523198</v>
      </c>
      <c r="EE8" s="25">
        <f>100*Monatswerte!EE8/Erwerbspersonen!$D9</f>
        <v>8.1178229474822654</v>
      </c>
      <c r="EF8" s="21">
        <f>100*Monatswerte!EF8/Erwerbspersonen!$D9</f>
        <v>8.3595762954480382</v>
      </c>
      <c r="EG8" s="21">
        <f>100*Monatswerte!EG8/Erwerbspersonen!$D9</f>
        <v>8.4263765626491072</v>
      </c>
      <c r="EH8" s="21">
        <f>100*Monatswerte!EH8/Erwerbspersonen!$D9</f>
        <v>8.2705092725132801</v>
      </c>
      <c r="EI8" s="21">
        <f>100*Monatswerte!EI8/Erwerbspersonen!$D9</f>
        <v>8.0382988198619465</v>
      </c>
      <c r="EJ8" s="21">
        <f>100*Monatswerte!EJ8/Erwerbspersonen!$D9</f>
        <v>8.0732894360148872</v>
      </c>
      <c r="EK8" s="21">
        <f>100*Monatswerte!EK8/Erwerbspersonen!$D9</f>
        <v>8.3023189235614083</v>
      </c>
      <c r="EL8" s="21">
        <f>100*Monatswerte!EL8/Erwerbspersonen!$D9</f>
        <v>8.3977478767057931</v>
      </c>
      <c r="EM8" s="21">
        <f>100*Monatswerte!EM8/Erwerbspersonen!$D9</f>
        <v>8.6808537710341316</v>
      </c>
      <c r="EN8" s="21">
        <f>100*Monatswerte!EN8/Erwerbspersonen!$D9</f>
        <v>8.9098832585806527</v>
      </c>
      <c r="EO8" s="21">
        <f>100*Monatswerte!EO8/Erwerbspersonen!$D9</f>
        <v>9.6733148837357259</v>
      </c>
      <c r="EP8" s="21">
        <f>100*Monatswerte!EP8/Erwerbspersonen!$D9</f>
        <v>10.04230683589401</v>
      </c>
      <c r="EQ8" s="25">
        <f>100*Monatswerte!EQ8/Erwerbspersonen!$D9</f>
        <v>10.039125870789197</v>
      </c>
      <c r="ER8" s="21">
        <f>100*Monatswerte!ER8/Erwerbspersonen!$D9</f>
        <v>10.172726405191336</v>
      </c>
      <c r="ES8" s="21">
        <f>100*Monatswerte!ES8/Erwerbspersonen!$D9</f>
        <v>9.9277920921207503</v>
      </c>
      <c r="ET8" s="21">
        <f>100*Monatswerte!ET8/Erwerbspersonen!$D9</f>
        <v>9.5969717212202177</v>
      </c>
      <c r="EU8" s="21">
        <f>100*Monatswerte!EU8/Erwerbspersonen!$D9</f>
        <v>9.4124757451410765</v>
      </c>
      <c r="EV8" s="21">
        <f>100*Monatswerte!EV8/Erwerbspersonen!$D9</f>
        <v>9.2057130133282445</v>
      </c>
      <c r="EW8" s="21">
        <f>100*Monatswerte!EW8/Erwerbspersonen!$D9</f>
        <v>9.1166459903934847</v>
      </c>
      <c r="EX8" s="21">
        <f>100*Monatswerte!EX8/Erwerbspersonen!$D9</f>
        <v>9.3170467919966917</v>
      </c>
      <c r="EY8" s="21">
        <f>100*Monatswerte!EY8/Erwerbspersonen!$D9</f>
        <v>9.5047237331806471</v>
      </c>
      <c r="EZ8" s="21">
        <f>100*Monatswerte!EZ8/Erwerbspersonen!$D9</f>
        <v>9.8005534879282372</v>
      </c>
      <c r="FA8" s="21">
        <f>100*Monatswerte!FA8/Erwerbspersonen!$D9</f>
        <v>10.322231765117536</v>
      </c>
      <c r="FB8" s="27">
        <f>100*Monatswerte!FB8/Erwerbspersonen!$D9</f>
        <v>10.653052136018069</v>
      </c>
      <c r="FC8" s="21">
        <f>100*Monatswerte!FC8/Erwerbspersonen!$E9</f>
        <v>9.7322825520078808</v>
      </c>
      <c r="FD8" s="21">
        <f>100*Monatswerte!FD8/Erwerbspersonen!$E9</f>
        <v>9.7351799269861505</v>
      </c>
      <c r="FE8" s="21">
        <f>100*Monatswerte!FE8/Erwerbspersonen!$E9</f>
        <v>9.5033899287245749</v>
      </c>
      <c r="FF8" s="21">
        <f>100*Monatswerte!FF8/Erwerbspersonen!$E9</f>
        <v>9.1412180564408647</v>
      </c>
      <c r="FG8" s="21">
        <f>100*Monatswerte!FG8/Erwerbspersonen!$E9</f>
        <v>9.0369125572231557</v>
      </c>
      <c r="FH8" s="21">
        <f>100*Monatswerte!FH8/Erwerbspersonen!$E9</f>
        <v>8.7616619342875364</v>
      </c>
      <c r="FI8" s="21">
        <f>100*Monatswerte!FI8/Erwerbspersonen!$E9</f>
        <v>8.6515616851132879</v>
      </c>
      <c r="FJ8" s="21">
        <f>100*Monatswerte!FJ8/Erwerbspersonen!$E9</f>
        <v>8.5356666859825001</v>
      </c>
      <c r="FK8" s="21">
        <f>100*Monatswerte!FK8/Erwerbspersonen!$E9</f>
        <v>8.4806165613953759</v>
      </c>
      <c r="FL8" s="21">
        <f>100*Monatswerte!FL8/Erwerbspersonen!$E9</f>
        <v>8.4719244364605668</v>
      </c>
      <c r="FM8" s="21">
        <f>100*Monatswerte!FM8/Erwerbspersonen!$E9</f>
        <v>8.8891464333314012</v>
      </c>
      <c r="FN8" s="21">
        <f>100*Monatswerte!FN8/Erwerbspersonen!$E9</f>
        <v>9.1962681810279889</v>
      </c>
      <c r="FO8" s="25">
        <f>100*Monatswerte!FO8/Erwerbspersonen!$E9</f>
        <v>9.1875760560931798</v>
      </c>
      <c r="FP8" s="21">
        <f>100*Monatswerte!FP8/Erwerbspersonen!$E9</f>
        <v>9.0398099322014254</v>
      </c>
      <c r="FQ8" s="21">
        <f>100*Monatswerte!FQ8/Erwerbspersonen!$E9</f>
        <v>9.0021440574839193</v>
      </c>
      <c r="FR8" s="21">
        <f>100*Monatswerte!FR8/Erwerbspersonen!$E9</f>
        <v>8.5965115605261637</v>
      </c>
      <c r="FS8" s="21">
        <f>100*Monatswerte!FS8/Erwerbspersonen!$E9</f>
        <v>8.1908790635684063</v>
      </c>
      <c r="FT8" s="21">
        <f>100*Monatswerte!FT8/Erwerbspersonen!$E9</f>
        <v>7.6258909428058184</v>
      </c>
      <c r="FU8" s="21">
        <f>100*Monatswerte!FU8/Erwerbspersonen!$E9</f>
        <v>7.6143014428927396</v>
      </c>
      <c r="FV8" s="21">
        <f>100*Monatswerte!FV8/Erwerbspersonen!$E9</f>
        <v>7.6258909428058184</v>
      </c>
      <c r="FW8" s="21">
        <f>100*Monatswerte!FW8/Erwerbspersonen!$E9</f>
        <v>7.6461725676537053</v>
      </c>
      <c r="FX8" s="21">
        <f>100*Monatswerte!FX8/Erwerbspersonen!$E9</f>
        <v>7.7997334415019992</v>
      </c>
      <c r="FY8" s="21">
        <f>100*Monatswerte!FY8/Erwerbspersonen!$E9</f>
        <v>8.1763921886770579</v>
      </c>
      <c r="FZ8" s="21">
        <f>100*Monatswerte!FZ8/Erwerbspersonen!$E9</f>
        <v>8.4255664368082517</v>
      </c>
      <c r="GA8" s="25">
        <f>100*Monatswerte!GA8/Erwerbspersonen!$E9</f>
        <v>8.4574375615692183</v>
      </c>
      <c r="GB8" s="21">
        <f>100*Monatswerte!GB8/Erwerbspersonen!$E9</f>
        <v>8.3444399374167002</v>
      </c>
      <c r="GC8" s="21">
        <f>100*Monatswerte!GC8/Erwerbspersonen!$E9</f>
        <v>8.3415425624384305</v>
      </c>
      <c r="GD8" s="21">
        <f>100*Monatswerte!GD8/Erwerbspersonen!$E9</f>
        <v>8.0662919395028112</v>
      </c>
      <c r="GE8" s="21">
        <f>100*Monatswerte!GE8/Erwerbspersonen!$E9</f>
        <v>7.8837573158718204</v>
      </c>
      <c r="GF8" s="21">
        <f>100*Monatswerte!GF8/Erwerbspersonen!$E9</f>
        <v>7.6229935678275487</v>
      </c>
      <c r="GG8" s="21">
        <f>100*Monatswerte!GG8/Erwerbspersonen!$E9</f>
        <v>7.486816943848873</v>
      </c>
      <c r="GH8" s="21">
        <f>100*Monatswerte!GH8/Erwerbspersonen!$E9</f>
        <v>7.3796140696528942</v>
      </c>
      <c r="GI8" s="21">
        <f>100*Monatswerte!GI8/Erwerbspersonen!$E9</f>
        <v>7.5969171930231214</v>
      </c>
      <c r="GJ8" s="21">
        <f>100*Monatswerte!GJ8/Erwerbspersonen!$E9</f>
        <v>7.9706785652199104</v>
      </c>
      <c r="GK8" s="21">
        <f>100*Monatswerte!GK8/Erwerbspersonen!$E9</f>
        <v>8.3125688126557336</v>
      </c>
      <c r="GL8" s="21">
        <f>100*Monatswerte!GL8/Erwerbspersonen!$E9</f>
        <v>8.6399721852002092</v>
      </c>
      <c r="GM8" s="25">
        <f>100*Monatswerte!GM8/Erwerbspersonen!$F9</f>
        <v>8.3213099184628518</v>
      </c>
      <c r="GN8" s="21">
        <f>100*Monatswerte!GN8/Erwerbspersonen!$F9</f>
        <v>8.1252870239005208</v>
      </c>
      <c r="GO8" s="21">
        <f>100*Monatswerte!GO8/Erwerbspersonen!$F9</f>
        <v>8.6940295067151681</v>
      </c>
      <c r="GP8" s="21">
        <f>100*Monatswerte!GP8/Erwerbspersonen!$F9</f>
        <v>9.152336555973573</v>
      </c>
      <c r="GQ8" s="21">
        <f>100*Monatswerte!GQ8/Erwerbspersonen!$F9</f>
        <v>9.2793373045632528</v>
      </c>
      <c r="GR8" s="21">
        <f>100*Monatswerte!GR8/Erwerbspersonen!$F9</f>
        <v>9.5443823450982332</v>
      </c>
      <c r="GS8" s="21">
        <f>100*Monatswerte!GS8/Erwerbspersonen!$F9</f>
        <v>9.8894930749614911</v>
      </c>
      <c r="GT8" s="21">
        <f>100*Monatswerte!GT8/Erwerbspersonen!$F9</f>
        <v>10.201473174757874</v>
      </c>
      <c r="GU8" s="21">
        <f>100*Monatswerte!GU8/Erwerbspersonen!$F9</f>
        <v>10.378169868447863</v>
      </c>
      <c r="GV8" s="21">
        <f>100*Monatswerte!GV8/Erwerbspersonen!$F9</f>
        <v>10.55486656213785</v>
      </c>
      <c r="GW8" s="21">
        <f>100*Monatswerte!GW8/Erwerbspersonen!$F9</f>
        <v>11.09323930072453</v>
      </c>
      <c r="GX8" s="27">
        <f>100*Monatswerte!GX8/Erwerbspersonen!$F9</f>
        <v>11.584676980049808</v>
      </c>
      <c r="GY8" s="21">
        <f>100*Monatswerte!GY8/Erwerbspersonen!$F9</f>
        <v>11.7171995003173</v>
      </c>
      <c r="GZ8" s="21">
        <f>100*Monatswerte!GZ8/Erwerbspersonen!$F9</f>
        <v>11.623329381794493</v>
      </c>
      <c r="HA8" s="21">
        <f>100*Monatswerte!HA8/Erwerbspersonen!$F9</f>
        <v>11.559829007499655</v>
      </c>
      <c r="HB8" s="21">
        <f>100*Monatswerte!HB8/Erwerbspersonen!$F9</f>
        <v>11.355523455420606</v>
      </c>
      <c r="HC8" s="21">
        <f>100*Monatswerte!HC8/Erwerbspersonen!$F9</f>
        <v>11.181587647569524</v>
      </c>
      <c r="HD8" s="21">
        <f>100*Monatswerte!HD8/Erwerbspersonen!$F9</f>
        <v>10.866846661934234</v>
      </c>
      <c r="HE8" s="21">
        <f>100*Monatswerte!HE8/Erwerbspersonen!$F9</f>
        <v>10.659780224016281</v>
      </c>
      <c r="HF8" s="21">
        <f>100*Monatswerte!HF8/Erwerbspersonen!$F9</f>
        <v>10.416822270192547</v>
      </c>
      <c r="HG8" s="21">
        <f>100*Monatswerte!HG8/Erwerbspersonen!$F9</f>
        <v>10.248408234019278</v>
      </c>
      <c r="HH8" s="21">
        <f>100*Monatswerte!HH8/Erwerbspersonen!$F9</f>
        <v>10.024776481067887</v>
      </c>
      <c r="HI8" s="21">
        <f>100*Monatswerte!HI8/Erwerbspersonen!$F9</f>
        <v>10.242886462341465</v>
      </c>
      <c r="HJ8" s="21">
        <f>100*Monatswerte!HJ8/Erwerbspersonen!$F9</f>
        <v>10.422344041870359</v>
      </c>
      <c r="HK8" s="60">
        <f>100*Monatswerte!HK8/Erwerbspersonen!$F9</f>
        <v>10.276017092408338</v>
      </c>
      <c r="HL8" s="3">
        <f>100*Monatswerte!HL8/Erwerbspersonen!$F9</f>
        <v>10.220799375630218</v>
      </c>
      <c r="HM8" s="3">
        <f>100*Monatswerte!HM8/Erwerbspersonen!$F9</f>
        <v>9.8784495316058667</v>
      </c>
      <c r="HN8" s="3">
        <f>100*Monatswerte!HN8/Erwerbspersonen!$F9</f>
        <v>9.3373159071802796</v>
      </c>
      <c r="HO8" s="3">
        <f>100*Monatswerte!HO8/Erwerbspersonen!$F9</f>
        <v>8.989444291478117</v>
      </c>
      <c r="HP8" s="3">
        <f>100*Monatswerte!HP8/Erwerbspersonen!$F9</f>
        <v>8.5559852147698656</v>
      </c>
      <c r="HQ8" s="3">
        <f>100*Monatswerte!HQ8/Erwerbspersonen!$F9</f>
        <v>8.1722220831619232</v>
      </c>
      <c r="HR8" s="3">
        <f>100*Monatswerte!HR8/Erwerbspersonen!$F9</f>
        <v>7.9292641293381916</v>
      </c>
      <c r="HS8" s="3">
        <f>100*Monatswerte!HS8/Erwerbspersonen!$F9</f>
        <v>7.6228058012196191</v>
      </c>
      <c r="HT8" s="3">
        <f>100*Monatswerte!HT8/Erwerbspersonen!$F9</f>
        <v>7.5565445410858736</v>
      </c>
      <c r="HU8" s="3">
        <f>100*Monatswerte!HU8/Erwerbspersonen!$F9</f>
        <v>7.7470456639703915</v>
      </c>
      <c r="HV8" s="64">
        <f>100*Monatswerte!HV8/Erwerbspersonen!$F9</f>
        <v>7.8850899559156939</v>
      </c>
      <c r="HW8" s="3">
        <f>100*[5]Monatswerte!HW8/[5]Erwerbspersonen!$F9</f>
        <v>7.926503243499285</v>
      </c>
      <c r="HX8" s="3">
        <f>100*[5]Monatswerte!HX8/[5]Erwerbspersonen!$F9</f>
        <v>8.0010471611497493</v>
      </c>
      <c r="HY8" s="3">
        <f>100*[5]Monatswerte!HY8/[5]Erwerbspersonen!$F9</f>
        <v>7.7304803489369549</v>
      </c>
      <c r="HZ8" s="3">
        <f>100*[5]Monatswerte!HZ8/[5]Erwerbspersonen!$F9</f>
        <v>7.4212611349794768</v>
      </c>
      <c r="IA8" s="3">
        <f>100*[5]Monatswerte!IA8/[5]Erwerbspersonen!$F9</f>
        <v>7.3191083589399533</v>
      </c>
      <c r="IB8" s="3">
        <f>100*[5]Monatswerte!IB8/[5]Erwerbspersonen!$F9</f>
        <v>7.1617378661223077</v>
      </c>
      <c r="IC8" s="3">
        <f>100*[5]Monatswerte!IC8/[5]Erwerbspersonen!$F9</f>
        <v>7.1203245785387166</v>
      </c>
      <c r="ID8" s="3">
        <f>100*[5]Monatswerte!ID8/[5]Erwerbspersonen!$F9</f>
        <v>7.2114338112226166</v>
      </c>
      <c r="IE8" s="3">
        <f>100*[5]Monatswerte!IE8/[5]Erwerbspersonen!$F9</f>
        <v>7.1976293820280866</v>
      </c>
      <c r="IF8" s="3">
        <f>100*[5]Monatswerte!IF8/[5]Erwerbspersonen!$F9</f>
        <v>7.5234139110190013</v>
      </c>
      <c r="IG8" s="3">
        <f>100*[5]Monatswerte!IG8/[5]Erwerbspersonen!$F9</f>
        <v>8.0424604487333387</v>
      </c>
      <c r="IH8" s="3">
        <f>100*[5]Monatswerte!IH8/[5]Erwerbspersonen!$F9</f>
        <v>8.2854184025570721</v>
      </c>
      <c r="II8" s="60">
        <f>100*[6]Monatswerte!II8/[6]Erwerbspersonen!$G9</f>
        <v>7.9392339922177717</v>
      </c>
      <c r="IJ8" s="3">
        <f>100*[6]Monatswerte!IJ8/[6]Erwerbspersonen!$G9</f>
        <v>7.9036662239326363</v>
      </c>
      <c r="IK8" s="3">
        <f>100*[6]Monatswerte!IK8/[6]Erwerbspersonen!$G9</f>
        <v>7.9849639800129459</v>
      </c>
      <c r="IL8" s="3">
        <f>100*[6]Monatswerte!IL8/[6]Erwerbspersonen!$G9</f>
        <v>8.0332345226856301</v>
      </c>
      <c r="IM8" s="3">
        <f>100*[6]Monatswerte!IM8/[6]Erwerbspersonen!$G9</f>
        <v>8.040856187318159</v>
      </c>
      <c r="IN8" s="3">
        <f>100*[6]Monatswerte!IN8/[6]Erwerbspersonen!$G9</f>
        <v>8.1323161629085075</v>
      </c>
      <c r="IO8" s="3">
        <f>100*[6]Monatswerte!IO8/[6]Erwerbspersonen!$G9</f>
        <v>8.3101550043341863</v>
      </c>
      <c r="IP8" s="3">
        <f>100*[6]Monatswerte!IP8/[6]Erwerbspersonen!$G9</f>
        <v>8.2822089006815798</v>
      </c>
      <c r="IQ8" s="3">
        <f>100*[6]Monatswerte!IQ8/[6]Erwerbspersonen!$G9</f>
        <v>8.5159399494124699</v>
      </c>
      <c r="IR8" s="3">
        <f>100*[6]Monatswerte!IR8/[6]Erwerbspersonen!$G9</f>
        <v>8.8208065347136326</v>
      </c>
      <c r="IS8" s="3">
        <f>100*[6]Monatswerte!IS8/[6]Erwerbspersonen!$G9</f>
        <v>9.3975124919083317</v>
      </c>
      <c r="IT8" s="3">
        <f>100*[6]Monatswerte!IT8/[6]Erwerbspersonen!$G9</f>
        <v>9.9183262417978177</v>
      </c>
      <c r="IU8" s="60">
        <f>100*[7]Monatswerte!IU8/[7]Erwerbspersonen!$G9</f>
        <v>10.258760595384116</v>
      </c>
      <c r="IV8" s="3">
        <f>100*[7]Monatswerte!IV8/[7]Erwerbspersonen!$G9</f>
        <v>10.362923345362013</v>
      </c>
      <c r="IW8" s="3">
        <f>100*[7]Monatswerte!IW8/[7]Erwerbspersonen!$G9</f>
        <v>10.322274467321858</v>
      </c>
      <c r="IX8" s="3">
        <f>100*[7]Monatswerte!IX8/[7]Erwerbspersonen!$G9</f>
        <v>10.162219510038748</v>
      </c>
      <c r="IY8" s="3">
        <f>100*[7]Monatswerte!IY8/[7]Erwerbspersonen!$G9</f>
        <v>9.961515674715482</v>
      </c>
      <c r="IZ8" s="3">
        <f>100*[7]Monatswerte!IZ8/[7]Erwerbspersonen!$G9</f>
        <v>10.164760064916257</v>
      </c>
      <c r="JA8" s="3">
        <f>100*[7]Monatswerte!JA8/[7]Erwerbspersonen!$G9</f>
        <v>10.246057820996567</v>
      </c>
      <c r="JB8" s="3">
        <f>100*[7]Monatswerte!JB8/[7]Erwerbspersonen!$G9</f>
        <v>10.096165083223497</v>
      </c>
      <c r="JC8" s="3">
        <f>100*[7]Monatswerte!JC8/[7]Erwerbspersonen!$G9</f>
        <v>10.134273406386141</v>
      </c>
      <c r="JD8" s="3">
        <f>100*[7]Monatswerte!JD8/[7]Erwerbspersonen!$G9</f>
        <v>10.464545540462401</v>
      </c>
      <c r="JE8" s="3">
        <f>100*[7]Monatswerte!JE8/[7]Erwerbspersonen!$G9</f>
        <v>10.723682137968389</v>
      </c>
      <c r="JF8" s="3">
        <f>100*[7]Monatswerte!JF8/[7]Erwerbspersonen!$G9</f>
        <v>10.906602089149086</v>
      </c>
      <c r="JG8" s="60">
        <f>100*[7]Monatswerte!JG8/[7]Erwerbspersonen!$G9</f>
        <v>11.122549253737409</v>
      </c>
      <c r="JH8" s="3">
        <f>100*[7]Monatswerte!JH8/[7]Erwerbspersonen!$G9</f>
        <v>10.914223753781615</v>
      </c>
      <c r="JI8" s="3">
        <f>100*[7]Monatswerte!JI8/[7]Erwerbspersonen!$G9</f>
        <v>10.708438808703331</v>
      </c>
    </row>
    <row r="9" spans="1:269" s="4" customFormat="1" ht="14.25" x14ac:dyDescent="0.25">
      <c r="A9" s="4" t="s">
        <v>45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8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8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8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7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8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8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8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8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8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7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5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5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7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6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6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6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8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61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5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1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1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1"/>
    </row>
    <row r="10" spans="1:269" s="1" customFormat="1" x14ac:dyDescent="0.2">
      <c r="A10" s="1" t="s">
        <v>35</v>
      </c>
      <c r="B10" s="1">
        <v>7</v>
      </c>
      <c r="C10" s="21">
        <f>100*Monatswerte!C10/Erwerbspersonen!$B11</f>
        <v>6.9304584764838291</v>
      </c>
      <c r="D10" s="21">
        <f>100*Monatswerte!D10/Erwerbspersonen!$B11</f>
        <v>6.6816727875844091</v>
      </c>
      <c r="E10" s="21">
        <f>100*Monatswerte!E10/Erwerbspersonen!$B11</f>
        <v>6.3262646605852391</v>
      </c>
      <c r="F10" s="21">
        <f>100*Monatswerte!F10/Erwerbspersonen!$B11</f>
        <v>5.9945504087193457</v>
      </c>
      <c r="G10" s="21">
        <f>100*Monatswerte!G10/Erwerbspersonen!$B11</f>
        <v>5.4614382182205903</v>
      </c>
      <c r="H10" s="21">
        <f>100*Monatswerte!H10/Erwerbspersonen!$B11</f>
        <v>5.627295344153536</v>
      </c>
      <c r="I10" s="21">
        <f>100*Monatswerte!I10/Erwerbspersonen!$B11</f>
        <v>6.480274848951546</v>
      </c>
      <c r="J10" s="21">
        <f>100*Monatswerte!J10/Erwerbspersonen!$B11</f>
        <v>8.589029735813293</v>
      </c>
      <c r="K10" s="21">
        <f>100*Monatswerte!K10/Erwerbspersonen!$B11</f>
        <v>8.1625399834142875</v>
      </c>
      <c r="L10" s="21">
        <f>100*Monatswerte!L10/Erwerbspersonen!$B11</f>
        <v>7.4517237294159457</v>
      </c>
      <c r="M10" s="21">
        <f>100*Monatswerte!M10/Erwerbspersonen!$B11</f>
        <v>7.2147849780831654</v>
      </c>
      <c r="N10" s="27">
        <f>100*Monatswerte!N10/Erwerbspersonen!$B11</f>
        <v>6.9067646013505506</v>
      </c>
      <c r="O10" s="21">
        <f>100*Monatswerte!O10/Erwerbspersonen!$B11</f>
        <v>6.7290605378509651</v>
      </c>
      <c r="P10" s="21">
        <f>100*Monatswerte!P10/Erwerbspersonen!$B11</f>
        <v>6.8238360383840782</v>
      </c>
      <c r="Q10" s="21">
        <f>100*Monatswerte!Q10/Erwerbspersonen!$B11</f>
        <v>6.3262646605852391</v>
      </c>
      <c r="R10" s="21">
        <f>100*Monatswerte!R10/Erwerbspersonen!$B11</f>
        <v>5.876081033052956</v>
      </c>
      <c r="S10" s="21">
        <f>100*Monatswerte!S10/Erwerbspersonen!$B11</f>
        <v>5.7220708446866482</v>
      </c>
      <c r="T10" s="21">
        <f>100*Monatswerte!T10/Erwerbspersonen!$B11</f>
        <v>5.5443667811870627</v>
      </c>
      <c r="U10" s="21">
        <f>100*Monatswerte!U10/Erwerbspersonen!$B11</f>
        <v>6.5513564743513806</v>
      </c>
      <c r="V10" s="21">
        <f>100*Monatswerte!V10/Erwerbspersonen!$B11</f>
        <v>8.1151522331477306</v>
      </c>
      <c r="W10" s="21">
        <f>100*Monatswerte!W10/Erwerbspersonen!$B11</f>
        <v>7.2977135410496388</v>
      </c>
      <c r="X10" s="21">
        <f>100*Monatswerte!X10/Erwerbspersonen!$B11</f>
        <v>6.9186115389171903</v>
      </c>
      <c r="Y10" s="21">
        <f>100*Monatswerte!Y10/Erwerbspersonen!$B11</f>
        <v>6.6579789124511315</v>
      </c>
      <c r="Z10" s="27">
        <f>100*Monatswerte!Z10/Erwerbspersonen!$B11</f>
        <v>6.5276625992181021</v>
      </c>
      <c r="AA10" s="21">
        <f>100*Monatswerte!AA10/Erwerbspersonen!$B11</f>
        <v>6.3854993484184339</v>
      </c>
      <c r="AB10" s="21">
        <f>100*Monatswerte!AB10/Erwerbspersonen!$B11</f>
        <v>6.0537850965525415</v>
      </c>
      <c r="AC10" s="21">
        <f>100*Monatswerte!AC10/Erwerbspersonen!$B11</f>
        <v>5.9945504087193457</v>
      </c>
      <c r="AD10" s="21">
        <f>100*Monatswerte!AD10/Erwerbspersonen!$B11</f>
        <v>5.876081033052956</v>
      </c>
      <c r="AE10" s="21">
        <f>100*Monatswerte!AE10/Erwerbspersonen!$B11</f>
        <v>5.425897405520673</v>
      </c>
      <c r="AF10" s="21">
        <f>100*Monatswerte!AF10/Erwerbspersonen!$B11</f>
        <v>5.0586423409548633</v>
      </c>
      <c r="AG10" s="21">
        <f>100*Monatswerte!AG10/Erwerbspersonen!$B11</f>
        <v>6.3618054732851554</v>
      </c>
      <c r="AH10" s="21">
        <f>100*Monatswerte!AH10/Erwerbspersonen!$B11</f>
        <v>6.9896931643170239</v>
      </c>
      <c r="AI10" s="21">
        <f>100*Monatswerte!AI10/Erwerbspersonen!$B11</f>
        <v>6.6816727875844091</v>
      </c>
      <c r="AJ10" s="21">
        <f>100*Monatswerte!AJ10/Erwerbspersonen!$B11</f>
        <v>6.3262646605852391</v>
      </c>
      <c r="AK10" s="21">
        <f>100*Monatswerte!AK10/Erwerbspersonen!$B11</f>
        <v>6.1959483473522097</v>
      </c>
      <c r="AL10" s="27">
        <f>100*Monatswerte!AL10/Erwerbspersonen!$B11</f>
        <v>6.0182442838526242</v>
      </c>
      <c r="AM10" s="21">
        <f>100*Monatswerte!AM10/Erwerbspersonen!$B11</f>
        <v>5.9353157208861509</v>
      </c>
      <c r="AN10" s="21">
        <f>100*Monatswerte!AN10/Erwerbspersonen!$B11</f>
        <v>5.9353157208861509</v>
      </c>
      <c r="AO10" s="21">
        <f>100*Monatswerte!AO10/Erwerbspersonen!$B11</f>
        <v>5.57990759388698</v>
      </c>
      <c r="AP10" s="21">
        <f>100*Monatswerte!AP10/Erwerbspersonen!$B11</f>
        <v>5.0586423409548633</v>
      </c>
      <c r="AQ10" s="21">
        <f>100*Monatswerte!AQ10/Erwerbspersonen!$B11</f>
        <v>4.8690913398886391</v>
      </c>
      <c r="AR10" s="21">
        <f>100*Monatswerte!AR10/Erwerbspersonen!$B11</f>
        <v>4.6084587134225803</v>
      </c>
      <c r="AS10" s="21">
        <f>100*Monatswerte!AS10/Erwerbspersonen!$B11</f>
        <v>5.5206729060537851</v>
      </c>
      <c r="AT10" s="21">
        <f>100*Monatswerte!AT10/Erwerbspersonen!$B11</f>
        <v>5.9708565335860682</v>
      </c>
      <c r="AU10" s="21">
        <f>100*Monatswerte!AU10/Erwerbspersonen!$B11</f>
        <v>5.4732851557872291</v>
      </c>
      <c r="AV10" s="21">
        <f>100*Monatswerte!AV10/Erwerbspersonen!$B11</f>
        <v>5.2008055917545315</v>
      </c>
      <c r="AW10" s="21">
        <f>100*Monatswerte!AW10/Erwerbspersonen!$B11</f>
        <v>5.0941831536547806</v>
      </c>
      <c r="AX10" s="27">
        <f>100*Monatswerte!AX10/Erwerbspersonen!$B11</f>
        <v>5.1178770287880582</v>
      </c>
      <c r="AY10" s="21">
        <f>100*Monatswerte!AY10/Erwerbspersonen!$C11</f>
        <v>5.630432044338078</v>
      </c>
      <c r="AZ10" s="21">
        <f>100*Monatswerte!AZ10/Erwerbspersonen!$C11</f>
        <v>5.5044715959188819</v>
      </c>
      <c r="BA10" s="21">
        <f>100*Monatswerte!BA10/Erwerbspersonen!$C11</f>
        <v>5.1769744300289711</v>
      </c>
      <c r="BB10" s="21">
        <f>100*Monatswerte!BB10/Erwerbspersonen!$C11</f>
        <v>5.2273586093966493</v>
      </c>
      <c r="BC10" s="21">
        <f>100*Monatswerte!BC10/Erwerbspersonen!$C11</f>
        <v>4.5849603224587483</v>
      </c>
      <c r="BD10" s="21">
        <f>100*Monatswerte!BD10/Erwerbspersonen!$C11</f>
        <v>4.282655246252677</v>
      </c>
      <c r="BE10" s="21">
        <f>100*Monatswerte!BE10/Erwerbspersonen!$C11</f>
        <v>5.7941806272830334</v>
      </c>
      <c r="BF10" s="21">
        <f>100*Monatswerte!BF10/Erwerbspersonen!$C11</f>
        <v>6.4113868245370957</v>
      </c>
      <c r="BG10" s="21">
        <f>100*Monatswerte!BG10/Erwerbspersonen!$C11</f>
        <v>5.4162992820254443</v>
      </c>
      <c r="BH10" s="21">
        <f>100*Monatswerte!BH10/Erwerbspersonen!$C11</f>
        <v>5.1769744300289711</v>
      </c>
      <c r="BI10" s="21">
        <f>100*Monatswerte!BI10/Erwerbspersonen!$C11</f>
        <v>5.2273586093966493</v>
      </c>
      <c r="BJ10" s="27">
        <f>100*Monatswerte!BJ10/Erwerbspersonen!$C11</f>
        <v>5.2399546542385691</v>
      </c>
      <c r="BK10" s="21">
        <f>100*Monatswerte!BK10/Erwerbspersonen!$C11</f>
        <v>5.5296636856027206</v>
      </c>
      <c r="BL10" s="21">
        <f>100*Monatswerte!BL10/Erwerbspersonen!$C11</f>
        <v>5.7815845824411136</v>
      </c>
      <c r="BM10" s="21">
        <f>100*Monatswerte!BM10/Erwerbspersonen!$C11</f>
        <v>5.8067766721249532</v>
      </c>
      <c r="BN10" s="21">
        <f>100*Monatswerte!BN10/Erwerbspersonen!$C11</f>
        <v>5.4162992820254443</v>
      </c>
      <c r="BO10" s="21">
        <f>100*Monatswerte!BO10/Erwerbspersonen!$C11</f>
        <v>5.0006298022420959</v>
      </c>
      <c r="BP10" s="21">
        <f>100*Monatswerte!BP10/Erwerbspersonen!$C11</f>
        <v>5.4918755510769621</v>
      </c>
      <c r="BQ10" s="21">
        <f>100*Monatswerte!BQ10/Erwerbspersonen!$C11</f>
        <v>7.041189066633077</v>
      </c>
      <c r="BR10" s="21">
        <f>100*Monatswerte!BR10/Erwerbspersonen!$C11</f>
        <v>7.6080110845194611</v>
      </c>
      <c r="BS10" s="21">
        <f>100*Monatswerte!BS10/Erwerbspersonen!$C11</f>
        <v>6.8774404836881216</v>
      </c>
      <c r="BT10" s="21">
        <f>100*Monatswerte!BT10/Erwerbspersonen!$C11</f>
        <v>6.3232145106436581</v>
      </c>
      <c r="BU10" s="21">
        <f>100*Monatswerte!BU10/Erwerbspersonen!$C11</f>
        <v>6.2980224209598186</v>
      </c>
      <c r="BV10" s="27">
        <f>100*Monatswerte!BV10/Erwerbspersonen!$C11</f>
        <v>6.2350421967502205</v>
      </c>
      <c r="BW10" s="21">
        <f>100*Monatswerte!BW10/Erwerbspersonen!$C11</f>
        <v>6.1468698828567829</v>
      </c>
      <c r="BX10" s="21">
        <f>100*Monatswerte!BX10/Erwerbspersonen!$C11</f>
        <v>6.0712936138052651</v>
      </c>
      <c r="BY10" s="21">
        <f>100*Monatswerte!BY10/Erwerbspersonen!$C11</f>
        <v>5.6178359994961582</v>
      </c>
      <c r="BZ10" s="21">
        <f>100*Monatswerte!BZ10/Erwerbspersonen!$C11</f>
        <v>5.0888021161355335</v>
      </c>
      <c r="CA10" s="21">
        <f>100*Monatswerte!CA10/Erwerbspersonen!$C11</f>
        <v>4.6605365915102661</v>
      </c>
      <c r="CB10" s="21">
        <f>100*Monatswerte!CB10/Erwerbspersonen!$C11</f>
        <v>4.5597682327749087</v>
      </c>
      <c r="CC10" s="21">
        <f>100*Monatswerte!CC10/Erwerbspersonen!$C11</f>
        <v>5.9957173447537473</v>
      </c>
      <c r="CD10" s="21">
        <f>100*Monatswerte!CD10/Erwerbspersonen!$C11</f>
        <v>5.8193727169668721</v>
      </c>
      <c r="CE10" s="21">
        <f>100*Monatswerte!CE10/Erwerbspersonen!$C11</f>
        <v>5.2399546542385691</v>
      </c>
      <c r="CF10" s="21">
        <f>100*Monatswerte!CF10/Erwerbspersonen!$C11</f>
        <v>5.2903388336062473</v>
      </c>
      <c r="CG10" s="21">
        <f>100*Monatswerte!CG10/Erwerbspersonen!$C11</f>
        <v>4.8242851744552206</v>
      </c>
      <c r="CH10" s="27">
        <f>100*Monatswerte!CH10/Erwerbspersonen!$C11</f>
        <v>4.6605365915102661</v>
      </c>
      <c r="CI10" s="21">
        <f>100*Monatswerte!CI10/Erwerbspersonen!$C11</f>
        <v>4.4464038291976316</v>
      </c>
      <c r="CJ10" s="21">
        <f>100*Monatswerte!CJ10/Erwerbspersonen!$C11</f>
        <v>4.1440987529915603</v>
      </c>
      <c r="CK10" s="21">
        <f>100*Monatswerte!CK10/Erwerbspersonen!$C11</f>
        <v>3.9803501700466053</v>
      </c>
      <c r="CL10" s="21">
        <f>100*Monatswerte!CL10/Erwerbspersonen!$C11</f>
        <v>3.678045093840534</v>
      </c>
      <c r="CM10" s="21">
        <f>100*Monatswerte!CM10/Erwerbspersonen!$C11</f>
        <v>3.1867993450056682</v>
      </c>
      <c r="CN10" s="21">
        <f>100*Monatswerte!CN10/Erwerbspersonen!$C11</f>
        <v>3.1867993450056682</v>
      </c>
      <c r="CO10" s="21">
        <f>100*Monatswerte!CO10/Erwerbspersonen!$C11</f>
        <v>3.5017004660536593</v>
      </c>
      <c r="CP10" s="21">
        <f>100*Monatswerte!CP10/Erwerbspersonen!$C11</f>
        <v>4.2196750220430781</v>
      </c>
      <c r="CQ10" s="21">
        <f>100*Monatswerte!CQ10/Erwerbspersonen!$C11</f>
        <v>3.7410253180501321</v>
      </c>
      <c r="CR10" s="21">
        <f>100*Monatswerte!CR10/Erwerbspersonen!$C11</f>
        <v>3.5646806902632573</v>
      </c>
      <c r="CS10" s="21">
        <f>100*Monatswerte!CS10/Erwerbspersonen!$C11</f>
        <v>3.5646806902632573</v>
      </c>
      <c r="CT10" s="27">
        <f>100*Monatswerte!CT10/Erwerbspersonen!$C11</f>
        <v>3.615064869630936</v>
      </c>
      <c r="CU10" s="21">
        <f>100*Monatswerte!CU10/Erwerbspersonen!$C11</f>
        <v>3.615064869630936</v>
      </c>
      <c r="CV10" s="21">
        <f>100*Monatswerte!CV10/Erwerbspersonen!$C11</f>
        <v>3.7914094974178107</v>
      </c>
      <c r="CW10" s="21">
        <f>100*Monatswerte!CW10/Erwerbspersonen!$C11</f>
        <v>3.325355838266784</v>
      </c>
      <c r="CX10" s="21">
        <f>100*Monatswerte!CX10/Erwerbspersonen!$C11</f>
        <v>3.2749716588991058</v>
      </c>
      <c r="CY10" s="21">
        <f>100*Monatswerte!CY10/Erwerbspersonen!$C11</f>
        <v>3.0734349414283915</v>
      </c>
      <c r="CZ10" s="21">
        <f>100*Monatswerte!CZ10/Erwerbspersonen!$C11</f>
        <v>3.1742033001637484</v>
      </c>
      <c r="DA10" s="21">
        <f>100*Monatswerte!DA10/Erwerbspersonen!$C11</f>
        <v>3.8417936767854894</v>
      </c>
      <c r="DB10" s="21">
        <f>100*Monatswerte!DB10/Erwerbspersonen!$C11</f>
        <v>4.5597682327749087</v>
      </c>
      <c r="DC10" s="21">
        <f>100*Monatswerte!DC10/Erwerbspersonen!$C11</f>
        <v>4.0811185287819622</v>
      </c>
      <c r="DD10" s="21">
        <f>100*Monatswerte!DD10/Erwerbspersonen!$C11</f>
        <v>3.8166015871016499</v>
      </c>
      <c r="DE10" s="21">
        <f>100*Monatswerte!DE10/Erwerbspersonen!$C11</f>
        <v>3.8921778561531677</v>
      </c>
      <c r="DF10" s="27">
        <f>100*Monatswerte!DF10/Erwerbspersonen!$C11</f>
        <v>3.9173699458370073</v>
      </c>
      <c r="DG10" s="21">
        <f>100*Monatswerte!DG10/Erwerbspersonen!$C11</f>
        <v>4.0055422597304444</v>
      </c>
      <c r="DH10" s="21">
        <f>100*Monatswerte!DH10/Erwerbspersonen!$C11</f>
        <v>3.7536213628920518</v>
      </c>
      <c r="DI10" s="21">
        <f>100*Monatswerte!DI10/Erwerbspersonen!$C11</f>
        <v>3.4639123315279003</v>
      </c>
      <c r="DJ10" s="21">
        <f>100*Monatswerte!DJ10/Erwerbspersonen!$C11</f>
        <v>3.325355838266784</v>
      </c>
      <c r="DK10" s="21">
        <f>100*Monatswerte!DK10/Erwerbspersonen!$C11</f>
        <v>3.262375614057186</v>
      </c>
      <c r="DL10" s="21">
        <f>100*Monatswerte!DL10/Erwerbspersonen!$C11</f>
        <v>3.3757400176344627</v>
      </c>
      <c r="DM10" s="21">
        <f>100*Monatswerte!DM10/Erwerbspersonen!$C11</f>
        <v>4.2574631565688374</v>
      </c>
      <c r="DN10" s="21">
        <f>100*Monatswerte!DN10/Erwerbspersonen!$C11</f>
        <v>4.6605365915102661</v>
      </c>
      <c r="DO10" s="21">
        <f>100*Monatswerte!DO10/Erwerbspersonen!$C11</f>
        <v>4.3204433807784355</v>
      </c>
      <c r="DP10" s="21">
        <f>100*Monatswerte!DP10/Erwerbspersonen!$C11</f>
        <v>4.3582315153041948</v>
      </c>
      <c r="DQ10" s="21">
        <f>100*Monatswerte!DQ10/Erwerbspersonen!$C11</f>
        <v>4.1566947978334801</v>
      </c>
      <c r="DR10" s="27">
        <f>100*Monatswerte!DR10/Erwerbspersonen!$C11</f>
        <v>3.9173699458370073</v>
      </c>
      <c r="DS10" s="21">
        <f>100*Monatswerte!DS10/Erwerbspersonen!$D11</f>
        <v>4.1626061534177916</v>
      </c>
      <c r="DT10" s="21">
        <f>100*Monatswerte!DT10/Erwerbspersonen!$D11</f>
        <v>4.0512320757343732</v>
      </c>
      <c r="DU10" s="21">
        <f>100*Monatswerte!DU10/Erwerbspersonen!$D11</f>
        <v>3.4665181678964223</v>
      </c>
      <c r="DV10" s="21">
        <f>100*Monatswerte!DV10/Erwerbspersonen!$D11</f>
        <v>3.188082973687874</v>
      </c>
      <c r="DW10" s="21">
        <f>100*Monatswerte!DW10/Erwerbspersonen!$D11</f>
        <v>2.9514130586106084</v>
      </c>
      <c r="DX10" s="21">
        <f>100*Monatswerte!DX10/Erwerbspersonen!$D11</f>
        <v>2.9653348183210357</v>
      </c>
      <c r="DY10" s="21">
        <f>100*Monatswerte!DY10/Erwerbspersonen!$D11</f>
        <v>3.0906306557148824</v>
      </c>
      <c r="DZ10" s="21">
        <f>100*Monatswerte!DZ10/Erwerbspersonen!$D11</f>
        <v>3.5500487261589866</v>
      </c>
      <c r="EA10" s="21">
        <f>100*Monatswerte!EA10/Erwerbspersonen!$D11</f>
        <v>3.9816232771822357</v>
      </c>
      <c r="EB10" s="21">
        <f>100*Monatswerte!EB10/Erwerbspersonen!$D11</f>
        <v>3.6892663232632605</v>
      </c>
      <c r="EC10" s="21">
        <f>100*Monatswerte!EC10/Erwerbspersonen!$D11</f>
        <v>3.6475010441319782</v>
      </c>
      <c r="ED10" s="21">
        <f>100*Monatswerte!ED10/Erwerbspersonen!$D11</f>
        <v>3.5222052067381315</v>
      </c>
      <c r="EE10" s="25">
        <f>100*Monatswerte!EE10/Erwerbspersonen!$D11</f>
        <v>3.4108311290547126</v>
      </c>
      <c r="EF10" s="21">
        <f>100*Monatswerte!EF10/Erwerbspersonen!$D11</f>
        <v>3.5361269664485593</v>
      </c>
      <c r="EG10" s="21">
        <f>100*Monatswerte!EG10/Erwerbspersonen!$D11</f>
        <v>3.5778922455798412</v>
      </c>
      <c r="EH10" s="21">
        <f>100*Monatswerte!EH10/Erwerbspersonen!$D11</f>
        <v>3.5361269664485593</v>
      </c>
      <c r="EI10" s="21">
        <f>100*Monatswerte!EI10/Erwerbspersonen!$D11</f>
        <v>3.3133788110817206</v>
      </c>
      <c r="EJ10" s="21">
        <f>100*Monatswerte!EJ10/Erwerbspersonen!$D11</f>
        <v>3.3273005707921479</v>
      </c>
      <c r="EK10" s="21">
        <f>100*Monatswerte!EK10/Erwerbspersonen!$D11</f>
        <v>4.6220242238618958</v>
      </c>
      <c r="EL10" s="21">
        <f>100*Monatswerte!EL10/Erwerbspersonen!$D11</f>
        <v>5.1371293331477101</v>
      </c>
      <c r="EM10" s="21">
        <f>100*Monatswerte!EM10/Erwerbspersonen!$D11</f>
        <v>5.0257552554642908</v>
      </c>
      <c r="EN10" s="21">
        <f>100*Monatswerte!EN10/Erwerbspersonen!$D11</f>
        <v>4.6916330224140328</v>
      </c>
      <c r="EO10" s="21">
        <f>100*Monatswerte!EO10/Erwerbspersonen!$D11</f>
        <v>4.6637895029931782</v>
      </c>
      <c r="EP10" s="21">
        <f>100*Monatswerte!EP10/Erwerbspersonen!$D11</f>
        <v>4.7473200612557429</v>
      </c>
      <c r="EQ10" s="25">
        <f>100*Monatswerte!EQ10/Erwerbspersonen!$D11</f>
        <v>4.3853543087846303</v>
      </c>
      <c r="ER10" s="21">
        <f>100*Monatswerte!ER10/Erwerbspersonen!$D11</f>
        <v>4.0929973548656546</v>
      </c>
      <c r="ES10" s="21">
        <f>100*Monatswerte!ES10/Erwerbspersonen!$D11</f>
        <v>3.6475010441319782</v>
      </c>
      <c r="ET10" s="21">
        <f>100*Monatswerte!ET10/Erwerbspersonen!$D11</f>
        <v>3.3690658499234303</v>
      </c>
      <c r="EU10" s="21">
        <f>100*Monatswerte!EU10/Erwerbspersonen!$D11</f>
        <v>3.1741612139774467</v>
      </c>
      <c r="EV10" s="21">
        <f>100*Monatswerte!EV10/Erwerbspersonen!$D11</f>
        <v>3.2298482528191563</v>
      </c>
      <c r="EW10" s="21">
        <f>100*Monatswerte!EW10/Erwerbspersonen!$D11</f>
        <v>3.8980927189196715</v>
      </c>
      <c r="EX10" s="21">
        <f>100*Monatswerte!EX10/Erwerbspersonen!$D11</f>
        <v>4.6220242238618958</v>
      </c>
      <c r="EY10" s="21">
        <f>100*Monatswerte!EY10/Erwerbspersonen!$D11</f>
        <v>4.538493665599332</v>
      </c>
      <c r="EZ10" s="21">
        <f>100*Monatswerte!EZ10/Erwerbspersonen!$D11</f>
        <v>4.3714325490742034</v>
      </c>
      <c r="FA10" s="21">
        <f>100*Monatswerte!FA10/Erwerbspersonen!$D11</f>
        <v>4.2600584713907841</v>
      </c>
      <c r="FB10" s="27">
        <f>100*Monatswerte!FB10/Erwerbspersonen!$D11</f>
        <v>4.134762633996937</v>
      </c>
      <c r="FC10" s="21">
        <f>100*Monatswerte!FC10/Erwerbspersonen!$E11</f>
        <v>4.4397780110994454</v>
      </c>
      <c r="FD10" s="21">
        <f>100*Monatswerte!FD10/Erwerbspersonen!$E11</f>
        <v>4.3647817609119546</v>
      </c>
      <c r="FE10" s="21">
        <f>100*Monatswerte!FE10/Erwerbspersonen!$E11</f>
        <v>4.1097945102744866</v>
      </c>
      <c r="FF10" s="21">
        <f>100*Monatswerte!FF10/Erwerbspersonen!$E11</f>
        <v>3.6898155092245388</v>
      </c>
      <c r="FG10" s="21">
        <f>100*Monatswerte!FG10/Erwerbspersonen!$E11</f>
        <v>3.4798260086995652</v>
      </c>
      <c r="FH10" s="21">
        <f>100*Monatswerte!FH10/Erwerbspersonen!$E11</f>
        <v>3.584820758962052</v>
      </c>
      <c r="FI10" s="21">
        <f>100*Monatswerte!FI10/Erwerbspersonen!$E11</f>
        <v>4.9947502624868756</v>
      </c>
      <c r="FJ10" s="21">
        <f>100*Monatswerte!FJ10/Erwerbspersonen!$E11</f>
        <v>5.0847457627118642</v>
      </c>
      <c r="FK10" s="21">
        <f>100*Monatswerte!FK10/Erwerbspersonen!$E11</f>
        <v>4.7547622618869054</v>
      </c>
      <c r="FL10" s="21">
        <f>100*Monatswerte!FL10/Erwerbspersonen!$E11</f>
        <v>4.3347832608369581</v>
      </c>
      <c r="FM10" s="21">
        <f>100*Monatswerte!FM10/Erwerbspersonen!$E11</f>
        <v>4.0197990100494971</v>
      </c>
      <c r="FN10" s="21">
        <f>100*Monatswerte!FN10/Erwerbspersonen!$E11</f>
        <v>3.8098095095245239</v>
      </c>
      <c r="FO10" s="25">
        <f>100*Monatswerte!FO10/Erwerbspersonen!$E11</f>
        <v>4.0347982600869958</v>
      </c>
      <c r="FP10" s="21">
        <f>100*Monatswerte!FP10/Erwerbspersonen!$E11</f>
        <v>4.1847907604619765</v>
      </c>
      <c r="FQ10" s="21">
        <f>100*Monatswerte!FQ10/Erwerbspersonen!$E11</f>
        <v>3.83980800959952</v>
      </c>
      <c r="FR10" s="21">
        <f>100*Monatswerte!FR10/Erwerbspersonen!$E11</f>
        <v>3.4198290085495726</v>
      </c>
      <c r="FS10" s="21">
        <f>100*Monatswerte!FS10/Erwerbspersonen!$E11</f>
        <v>3.0598470076496174</v>
      </c>
      <c r="FT10" s="21">
        <f>100*Monatswerte!FT10/Erwerbspersonen!$E11</f>
        <v>3.1348432578371082</v>
      </c>
      <c r="FU10" s="21">
        <f>100*Monatswerte!FU10/Erwerbspersonen!$E11</f>
        <v>3.7348132593370331</v>
      </c>
      <c r="FV10" s="21">
        <f>100*Monatswerte!FV10/Erwerbspersonen!$E11</f>
        <v>4.529773511324434</v>
      </c>
      <c r="FW10" s="21">
        <f>100*Monatswerte!FW10/Erwerbspersonen!$E11</f>
        <v>4.1247937603119844</v>
      </c>
      <c r="FX10" s="21">
        <f>100*Monatswerte!FX10/Erwerbspersonen!$E11</f>
        <v>3.959802009899505</v>
      </c>
      <c r="FY10" s="21">
        <f>100*Monatswerte!FY10/Erwerbspersonen!$E11</f>
        <v>4.1247937603119844</v>
      </c>
      <c r="FZ10" s="21">
        <f>100*Monatswerte!FZ10/Erwerbspersonen!$E11</f>
        <v>4.1697915104244787</v>
      </c>
      <c r="GA10" s="25">
        <f>100*Monatswerte!GA10/Erwerbspersonen!$E11</f>
        <v>4.0797960101994901</v>
      </c>
      <c r="GB10" s="21">
        <f>100*Monatswerte!GB10/Erwerbspersonen!$E11</f>
        <v>3.8098095095245239</v>
      </c>
      <c r="GC10" s="21">
        <f>100*Monatswerte!GC10/Erwerbspersonen!$E11</f>
        <v>3.5398230088495577</v>
      </c>
      <c r="GD10" s="21">
        <f>100*Monatswerte!GD10/Erwerbspersonen!$E11</f>
        <v>3.1198440077996099</v>
      </c>
      <c r="GE10" s="21">
        <f>100*Monatswerte!GE10/Erwerbspersonen!$E11</f>
        <v>2.7898605069746512</v>
      </c>
      <c r="GF10" s="21">
        <f>100*Monatswerte!GF10/Erwerbspersonen!$E11</f>
        <v>2.894855257237138</v>
      </c>
      <c r="GG10" s="21">
        <f>100*Monatswerte!GG10/Erwerbspersonen!$E11</f>
        <v>3.7048147592620371</v>
      </c>
      <c r="GH10" s="21">
        <f>100*Monatswerte!GH10/Erwerbspersonen!$E11</f>
        <v>4.0797960101994901</v>
      </c>
      <c r="GI10" s="21">
        <f>100*Monatswerte!GI10/Erwerbspersonen!$E11</f>
        <v>4.0647967601619923</v>
      </c>
      <c r="GJ10" s="21">
        <f>100*Monatswerte!GJ10/Erwerbspersonen!$E11</f>
        <v>4.0497975101244936</v>
      </c>
      <c r="GK10" s="21">
        <f>100*Monatswerte!GK10/Erwerbspersonen!$E11</f>
        <v>3.8848057597120143</v>
      </c>
      <c r="GL10" s="21">
        <f>100*Monatswerte!GL10/Erwerbspersonen!$E11</f>
        <v>3.7498125093745314</v>
      </c>
      <c r="GM10" s="25">
        <f>100*Monatswerte!GM10/Erwerbspersonen!$F11</f>
        <v>4.6586002854297828</v>
      </c>
      <c r="GN10" s="21">
        <f>100*Monatswerte!GN10/Erwerbspersonen!$F11</f>
        <v>4.1721600949832993</v>
      </c>
      <c r="GO10" s="21">
        <f>100*Monatswerte!GO10/Erwerbspersonen!$F11</f>
        <v>4.0973231426069177</v>
      </c>
      <c r="GP10" s="21">
        <f>100*Monatswerte!GP10/Erwerbspersonen!$F11</f>
        <v>4.1721600949832993</v>
      </c>
      <c r="GQ10" s="21">
        <f>100*Monatswerte!GQ10/Erwerbspersonen!$F11</f>
        <v>4.4527986663947328</v>
      </c>
      <c r="GR10" s="21">
        <f>100*Monatswerte!GR10/Erwerbspersonen!$F11</f>
        <v>4.7521464759002603</v>
      </c>
      <c r="GS10" s="21">
        <f>100*Monatswerte!GS10/Erwerbspersonen!$F11</f>
        <v>6.323722475804284</v>
      </c>
      <c r="GT10" s="21">
        <f>100*Monatswerte!GT10/Erwerbspersonen!$F11</f>
        <v>6.0617931424869465</v>
      </c>
      <c r="GU10" s="21">
        <f>100*Monatswerte!GU10/Erwerbspersonen!$F11</f>
        <v>5.7437360948873231</v>
      </c>
      <c r="GV10" s="21">
        <f>100*Monatswerte!GV10/Erwerbspersonen!$F11</f>
        <v>5.7811545710755139</v>
      </c>
      <c r="GW10" s="21">
        <f>100*Monatswerte!GW10/Erwerbspersonen!$F11</f>
        <v>5.6876083806050364</v>
      </c>
      <c r="GX10" s="27">
        <f>100*Monatswerte!GX10/Erwerbspersonen!$F11</f>
        <v>5.4256790472876988</v>
      </c>
      <c r="GY10" s="21">
        <f>100*Monatswerte!GY10/Erwerbspersonen!$F11</f>
        <v>5.2760051425349346</v>
      </c>
      <c r="GZ10" s="21">
        <f>100*Monatswerte!GZ10/Erwerbspersonen!$F11</f>
        <v>4.995366571123502</v>
      </c>
      <c r="HA10" s="21">
        <f>100*Monatswerte!HA10/Erwerbspersonen!$F11</f>
        <v>4.9579480949353112</v>
      </c>
      <c r="HB10" s="21">
        <f>100*Monatswerte!HB10/Erwerbspersonen!$F11</f>
        <v>4.5276356187711144</v>
      </c>
      <c r="HC10" s="21">
        <f>100*Monatswerte!HC10/Erwerbspersonen!$F11</f>
        <v>4.5089263806770186</v>
      </c>
      <c r="HD10" s="21">
        <f>100*Monatswerte!HD10/Erwerbspersonen!$F11</f>
        <v>4.228287809265586</v>
      </c>
      <c r="HE10" s="21">
        <f>100*Monatswerte!HE10/Erwerbspersonen!$F11</f>
        <v>5.1450404758762662</v>
      </c>
      <c r="HF10" s="21">
        <f>100*Monatswerte!HF10/Erwerbspersonen!$F11</f>
        <v>4.415380190206541</v>
      </c>
      <c r="HG10" s="21">
        <f>100*Monatswerte!HG10/Erwerbspersonen!$F11</f>
        <v>4.041195428324631</v>
      </c>
      <c r="HH10" s="21">
        <f>100*Monatswerte!HH10/Erwerbspersonen!$F11</f>
        <v>3.8915215235718668</v>
      </c>
      <c r="HI10" s="21">
        <f>100*Monatswerte!HI10/Erwerbspersonen!$F11</f>
        <v>3.7979753331013892</v>
      </c>
      <c r="HJ10" s="21">
        <f>100*Monatswerte!HJ10/Erwerbspersonen!$F11</f>
        <v>3.6857199045368163</v>
      </c>
      <c r="HK10" s="60">
        <f>100*Monatswerte!HK10/Erwerbspersonen!$F11</f>
        <v>3.8915215235718668</v>
      </c>
      <c r="HL10" s="3">
        <f>100*Monatswerte!HL10/Erwerbspersonen!$F11</f>
        <v>3.7605568569131984</v>
      </c>
      <c r="HM10" s="3">
        <f>100*Monatswerte!HM10/Erwerbspersonen!$F11</f>
        <v>3.4986275235958613</v>
      </c>
      <c r="HN10" s="3">
        <f>100*Monatswerte!HN10/Erwerbspersonen!$F11</f>
        <v>3.0308965712434732</v>
      </c>
      <c r="HO10" s="3">
        <f>100*Monatswerte!HO10/Erwerbspersonen!$F11</f>
        <v>2.8063857141143269</v>
      </c>
      <c r="HP10" s="3">
        <f>100*Monatswerte!HP10/Erwerbspersonen!$F11</f>
        <v>2.5070379046087989</v>
      </c>
      <c r="HQ10" s="3">
        <f>100*Monatswerte!HQ10/Erwerbspersonen!$F11</f>
        <v>2.6754210474556586</v>
      </c>
      <c r="HR10" s="3">
        <f>100*Monatswerte!HR10/Erwerbspersonen!$F11</f>
        <v>3.3302443807490016</v>
      </c>
      <c r="HS10" s="3">
        <f>100*Monatswerte!HS10/Erwerbspersonen!$F11</f>
        <v>2.9747688569611865</v>
      </c>
      <c r="HT10" s="3">
        <f>100*Monatswerte!HT10/Erwerbspersonen!$F11</f>
        <v>2.9560596188670911</v>
      </c>
      <c r="HU10" s="3">
        <f>100*Monatswerte!HU10/Erwerbspersonen!$F11</f>
        <v>2.8250949522084228</v>
      </c>
      <c r="HV10" s="64">
        <f>100*Monatswerte!HV10/Erwerbspersonen!$F11</f>
        <v>2.8438041903025182</v>
      </c>
      <c r="HW10" s="3">
        <f>100*[5]Monatswerte!HW10/[5]Erwerbspersonen!$F11</f>
        <v>2.9186411426789003</v>
      </c>
      <c r="HX10" s="3">
        <f>100*[5]Monatswerte!HX10/[5]Erwerbspersonen!$F11</f>
        <v>3.0683150474316645</v>
      </c>
      <c r="HY10" s="3">
        <f>100*[5]Monatswerte!HY10/[5]Erwerbspersonen!$F11</f>
        <v>2.8999319045848049</v>
      </c>
      <c r="HZ10" s="3">
        <f>100*[5]Monatswerte!HZ10/[5]Erwerbspersonen!$F11</f>
        <v>2.8438041903025182</v>
      </c>
      <c r="IA10" s="3">
        <f>100*[5]Monatswerte!IA10/[5]Erwerbspersonen!$F11</f>
        <v>2.6754210474556586</v>
      </c>
      <c r="IB10" s="3">
        <f>100*[5]Monatswerte!IB10/[5]Erwerbspersonen!$F11</f>
        <v>2.581874856985181</v>
      </c>
      <c r="IC10" s="3">
        <f>100*[5]Monatswerte!IC10/[5]Erwerbspersonen!$F11</f>
        <v>3.2928259045608104</v>
      </c>
      <c r="ID10" s="3">
        <f>100*[5]Monatswerte!ID10/[5]Erwerbspersonen!$F11</f>
        <v>3.2366981902785241</v>
      </c>
      <c r="IE10" s="3">
        <f>100*[5]Monatswerte!IE10/[5]Erwerbspersonen!$F11</f>
        <v>3.0870242855257599</v>
      </c>
      <c r="IF10" s="3">
        <f>100*[5]Monatswerte!IF10/[5]Erwerbspersonen!$F11</f>
        <v>3.3489536188430971</v>
      </c>
      <c r="IG10" s="3">
        <f>100*[5]Monatswerte!IG10/[5]Erwerbspersonen!$F11</f>
        <v>3.4986275235958613</v>
      </c>
      <c r="IH10" s="3">
        <f>100*[5]Monatswerte!IH10/[5]Erwerbspersonen!$F11</f>
        <v>3.5173367616899567</v>
      </c>
      <c r="II10" s="60">
        <f>100*[6]Monatswerte!II10/[6]Erwerbspersonen!$G11</f>
        <v>3.7684955538961673</v>
      </c>
      <c r="IJ10" s="3">
        <f>100*[6]Monatswerte!IJ10/[6]Erwerbspersonen!$G11</f>
        <v>3.6703576488467879</v>
      </c>
      <c r="IK10" s="3">
        <f>100*[6]Monatswerte!IK10/[6]Erwerbspersonen!$G11</f>
        <v>3.4544542577381532</v>
      </c>
      <c r="IL10" s="3">
        <f>100*[6]Monatswerte!IL10/[6]Erwerbspersonen!$G11</f>
        <v>3.2189232856196428</v>
      </c>
      <c r="IM10" s="3">
        <f>100*[6]Monatswerte!IM10/[6]Erwerbspersonen!$G11</f>
        <v>2.9048819894616287</v>
      </c>
      <c r="IN10" s="3">
        <f>100*[6]Monatswerte!IN10/[6]Erwerbspersonen!$G11</f>
        <v>3.1011577995603874</v>
      </c>
      <c r="IO10" s="3">
        <f>100*[6]Monatswerte!IO10/[6]Erwerbspersonen!$G11</f>
        <v>3.964771363994926</v>
      </c>
      <c r="IP10" s="3">
        <f>100*[6]Monatswerte!IP10/[6]Erwerbspersonen!$G11</f>
        <v>4.082536850054181</v>
      </c>
      <c r="IQ10" s="3">
        <f>100*[6]Monatswerte!IQ10/[6]Erwerbspersonen!$G11</f>
        <v>4.0236541070245533</v>
      </c>
      <c r="IR10" s="3">
        <f>100*[6]Monatswerte!IR10/[6]Erwerbspersonen!$G11</f>
        <v>4.4162057272220707</v>
      </c>
      <c r="IS10" s="3">
        <f>100*[6]Monatswerte!IS10/[6]Erwerbspersonen!$G11</f>
        <v>4.1217920120739331</v>
      </c>
      <c r="IT10" s="3">
        <f>100*[6]Monatswerte!IT10/[6]Erwerbspersonen!$G11</f>
        <v>4.1217920120739331</v>
      </c>
      <c r="IU10" s="60">
        <f>100*[7]Monatswerte!IU10/[7]Erwerbspersonen!$G11</f>
        <v>4.1806747551035608</v>
      </c>
      <c r="IV10" s="3">
        <f>100*[7]Monatswerte!IV10/[7]Erwerbspersonen!$G11</f>
        <v>4.0432816880344298</v>
      </c>
      <c r="IW10" s="3">
        <f>100*[7]Monatswerte!IW10/[7]Erwerbspersonen!$G11</f>
        <v>4.1217920120739331</v>
      </c>
      <c r="IX10" s="3">
        <f>100*[7]Monatswerte!IX10/[7]Erwerbspersonen!$G11</f>
        <v>4.2003023361134364</v>
      </c>
      <c r="IY10" s="3">
        <f>100*[7]Monatswerte!IY10/[7]Erwerbspersonen!$G11</f>
        <v>4.219929917123312</v>
      </c>
      <c r="IZ10" s="3">
        <f>100*[7]Monatswerte!IZ10/[7]Erwerbspersonen!$G11</f>
        <v>5.3975847777158643</v>
      </c>
      <c r="JA10" s="3">
        <f>100*[7]Monatswerte!JA10/[7]Erwerbspersonen!$G11</f>
        <v>6.1041776940713959</v>
      </c>
      <c r="JB10" s="3">
        <f>100*[7]Monatswerte!JB10/[7]Erwerbspersonen!$G11</f>
        <v>6.4378465712392856</v>
      </c>
      <c r="JC10" s="3">
        <f>100*[7]Monatswerte!JC10/[7]Erwerbspersonen!$G11</f>
        <v>6.0649225320516438</v>
      </c>
      <c r="JD10" s="3">
        <f>100*[7]Monatswerte!JD10/[7]Erwerbspersonen!$G11</f>
        <v>5.731253654883754</v>
      </c>
      <c r="JE10" s="3">
        <f>100*[7]Monatswerte!JE10/[7]Erwerbspersonen!$G11</f>
        <v>5.593860587814623</v>
      </c>
      <c r="JF10" s="3">
        <f>100*[7]Monatswerte!JF10/[7]Erwerbspersonen!$G11</f>
        <v>5.5153502637751197</v>
      </c>
      <c r="JG10" s="60">
        <f>100*[7]Monatswerte!JG10/[7]Erwerbspersonen!$G11</f>
        <v>5.3387020346862366</v>
      </c>
      <c r="JH10" s="3">
        <f>100*[7]Monatswerte!JH10/[7]Erwerbspersonen!$G11</f>
        <v>5.456467520745492</v>
      </c>
      <c r="JI10" s="3">
        <f>100*[7]Monatswerte!JI10/[7]Erwerbspersonen!$G11</f>
        <v>5.1424262245874779</v>
      </c>
    </row>
    <row r="11" spans="1:269" s="1" customFormat="1" x14ac:dyDescent="0.2">
      <c r="A11" s="1" t="s">
        <v>36</v>
      </c>
      <c r="B11" s="1">
        <v>8</v>
      </c>
      <c r="C11" s="21">
        <f>100*Monatswerte!C11/Erwerbspersonen!$B12</f>
        <v>10.952078992662379</v>
      </c>
      <c r="D11" s="21">
        <f>100*Monatswerte!D11/Erwerbspersonen!$B12</f>
        <v>11.006431742005617</v>
      </c>
      <c r="E11" s="21">
        <f>100*Monatswerte!E11/Erwerbspersonen!$B12</f>
        <v>10.553492164145304</v>
      </c>
      <c r="F11" s="21">
        <f>100*Monatswerte!F11/Erwerbspersonen!$B12</f>
        <v>10.019023462270134</v>
      </c>
      <c r="G11" s="21">
        <f>100*Monatswerte!G11/Erwerbspersonen!$B12</f>
        <v>9.3758492617084883</v>
      </c>
      <c r="H11" s="21">
        <f>100*Monatswerte!H11/Erwerbspersonen!$B12</f>
        <v>9.1493794727783317</v>
      </c>
      <c r="I11" s="21">
        <f>100*Monatswerte!I11/Erwerbspersonen!$B12</f>
        <v>9.4664371772805502</v>
      </c>
      <c r="J11" s="21">
        <f>100*Monatswerte!J11/Erwerbspersonen!$B12</f>
        <v>9.8650240057976273</v>
      </c>
      <c r="K11" s="21">
        <f>100*Monatswerte!K11/Erwerbspersonen!$B12</f>
        <v>10.091493794727784</v>
      </c>
      <c r="L11" s="21">
        <f>100*Monatswerte!L11/Erwerbspersonen!$B12</f>
        <v>9.7744360902255636</v>
      </c>
      <c r="M11" s="21">
        <f>100*Monatswerte!M11/Erwerbspersonen!$B12</f>
        <v>9.8106712564543894</v>
      </c>
      <c r="N11" s="27">
        <f>100*Monatswerte!N11/Erwerbspersonen!$B12</f>
        <v>10.037141045384546</v>
      </c>
      <c r="O11" s="21">
        <f>100*Monatswerte!O11/Erwerbspersonen!$B12</f>
        <v>10.163964127185434</v>
      </c>
      <c r="P11" s="21">
        <f>100*Monatswerte!P11/Erwerbspersonen!$B12</f>
        <v>10.209258084971465</v>
      </c>
      <c r="Q11" s="21">
        <f>100*Monatswerte!Q11/Erwerbspersonen!$B12</f>
        <v>9.8378476311260084</v>
      </c>
      <c r="R11" s="21">
        <f>100*Monatswerte!R11/Erwerbspersonen!$B12</f>
        <v>9.484554760394964</v>
      </c>
      <c r="S11" s="21">
        <f>100*Monatswerte!S11/Erwerbspersonen!$B12</f>
        <v>9.3577316785940763</v>
      </c>
      <c r="T11" s="21">
        <f>100*Monatswerte!T11/Erwerbspersonen!$B12</f>
        <v>9.1131443065495059</v>
      </c>
      <c r="U11" s="21">
        <f>100*Monatswerte!U11/Erwerbspersonen!$B12</f>
        <v>9.1584382643355369</v>
      </c>
      <c r="V11" s="21">
        <f>100*Monatswerte!V11/Erwerbspersonen!$B12</f>
        <v>9.4030256363801072</v>
      </c>
      <c r="W11" s="21">
        <f>100*Monatswerte!W11/Erwerbspersonen!$B12</f>
        <v>9.4030256363801072</v>
      </c>
      <c r="X11" s="21">
        <f>100*Monatswerte!X11/Erwerbspersonen!$B12</f>
        <v>9.7653772986683585</v>
      </c>
      <c r="Y11" s="21">
        <f>100*Monatswerte!Y11/Erwerbspersonen!$B12</f>
        <v>9.7653772986683585</v>
      </c>
      <c r="Z11" s="27">
        <f>100*Monatswerte!Z11/Erwerbspersonen!$B12</f>
        <v>9.9193767551408634</v>
      </c>
      <c r="AA11" s="21">
        <f>100*Monatswerte!AA11/Erwerbspersonen!$B12</f>
        <v>10.182081710299846</v>
      </c>
      <c r="AB11" s="21">
        <f>100*Monatswerte!AB11/Erwerbspersonen!$B12</f>
        <v>9.7834948817827705</v>
      </c>
      <c r="AC11" s="21">
        <f>100*Monatswerte!AC11/Erwerbspersonen!$B12</f>
        <v>9.6657305915390879</v>
      </c>
      <c r="AD11" s="21">
        <f>100*Monatswerte!AD11/Erwerbspersonen!$B12</f>
        <v>9.2037322221215696</v>
      </c>
      <c r="AE11" s="21">
        <f>100*Monatswerte!AE11/Erwerbspersonen!$B12</f>
        <v>8.4337349397590362</v>
      </c>
      <c r="AF11" s="21">
        <f>100*Monatswerte!AF11/Erwerbspersonen!$B12</f>
        <v>7.8539722800978353</v>
      </c>
      <c r="AG11" s="21">
        <f>100*Monatswerte!AG11/Erwerbspersonen!$B12</f>
        <v>7.6275024911676779</v>
      </c>
      <c r="AH11" s="21">
        <f>100*Monatswerte!AH11/Erwerbspersonen!$B12</f>
        <v>7.7362079898541536</v>
      </c>
      <c r="AI11" s="21">
        <f>100*Monatswerte!AI11/Erwerbspersonen!$B12</f>
        <v>7.527855784038409</v>
      </c>
      <c r="AJ11" s="21">
        <f>100*Monatswerte!AJ11/Erwerbspersonen!$B12</f>
        <v>7.4463266600235531</v>
      </c>
      <c r="AK11" s="21">
        <f>100*Monatswerte!AK11/Erwerbspersonen!$B12</f>
        <v>7.0930337892925079</v>
      </c>
      <c r="AL11" s="27">
        <f>100*Monatswerte!AL11/Erwerbspersonen!$B12</f>
        <v>7.0930337892925079</v>
      </c>
      <c r="AM11" s="21">
        <f>100*Monatswerte!AM11/Erwerbspersonen!$B12</f>
        <v>7.5912673249388529</v>
      </c>
      <c r="AN11" s="21">
        <f>100*Monatswerte!AN11/Erwerbspersonen!$B12</f>
        <v>7.527855784038409</v>
      </c>
      <c r="AO11" s="21">
        <f>100*Monatswerte!AO11/Erwerbspersonen!$B12</f>
        <v>7.3919739106803153</v>
      </c>
      <c r="AP11" s="21">
        <f>100*Monatswerte!AP11/Erwerbspersonen!$B12</f>
        <v>7.1745629133073647</v>
      </c>
      <c r="AQ11" s="21">
        <f>100*Monatswerte!AQ11/Erwerbspersonen!$B12</f>
        <v>6.9299755412627952</v>
      </c>
      <c r="AR11" s="21">
        <f>100*Monatswerte!AR11/Erwerbspersonen!$B12</f>
        <v>6.5948002536461638</v>
      </c>
      <c r="AS11" s="21">
        <f>100*Monatswerte!AS11/Erwerbspersonen!$B12</f>
        <v>6.5948002536461638</v>
      </c>
      <c r="AT11" s="21">
        <f>100*Monatswerte!AT11/Erwerbspersonen!$B12</f>
        <v>6.540447504302926</v>
      </c>
      <c r="AU11" s="21">
        <f>100*Monatswerte!AU11/Erwerbspersonen!$B12</f>
        <v>6.1690370504574688</v>
      </c>
      <c r="AV11" s="21">
        <f>100*Monatswerte!AV11/Erwerbspersonen!$B12</f>
        <v>5.9153908868556933</v>
      </c>
      <c r="AW11" s="21">
        <f>100*Monatswerte!AW11/Erwerbspersonen!$B12</f>
        <v>5.8519793459552494</v>
      </c>
      <c r="AX11" s="27">
        <f>100*Monatswerte!AX11/Erwerbspersonen!$B12</f>
        <v>5.8429205543980434</v>
      </c>
      <c r="AY11" s="21">
        <f>100*Monatswerte!AY11/Erwerbspersonen!$C12</f>
        <v>5.1841122207821915</v>
      </c>
      <c r="AZ11" s="21">
        <f>100*Monatswerte!AZ11/Erwerbspersonen!$C12</f>
        <v>4.8791644430891212</v>
      </c>
      <c r="BA11" s="21">
        <f>100*Monatswerte!BA11/Erwerbspersonen!$C12</f>
        <v>4.7114431653579327</v>
      </c>
      <c r="BB11" s="21">
        <f>100*Monatswerte!BB11/Erwerbspersonen!$C12</f>
        <v>4.5208508042997639</v>
      </c>
      <c r="BC11" s="21">
        <f>100*Monatswerte!BC11/Erwerbspersonen!$C12</f>
        <v>4.2997636654722875</v>
      </c>
      <c r="BD11" s="21">
        <f>100*Monatswerte!BD11/Erwerbspersonen!$C12</f>
        <v>4.2159030266066937</v>
      </c>
      <c r="BE11" s="21">
        <f>100*Monatswerte!BE11/Erwerbspersonen!$C12</f>
        <v>4.1167949988564461</v>
      </c>
      <c r="BF11" s="21">
        <f>100*Monatswerte!BF11/Erwerbspersonen!$C12</f>
        <v>4.2006556377220399</v>
      </c>
      <c r="BG11" s="21">
        <f>100*Monatswerte!BG11/Erwerbspersonen!$C12</f>
        <v>4.4064953876648625</v>
      </c>
      <c r="BH11" s="21">
        <f>100*Monatswerte!BH11/Erwerbspersonen!$C12</f>
        <v>4.574216665396051</v>
      </c>
      <c r="BI11" s="21">
        <f>100*Monatswerte!BI11/Erwerbspersonen!$C12</f>
        <v>4.8181748875505068</v>
      </c>
      <c r="BJ11" s="27">
        <f>100*Monatswerte!BJ11/Erwerbspersonen!$C12</f>
        <v>5.5652969428985291</v>
      </c>
      <c r="BK11" s="21">
        <f>100*Monatswerte!BK11/Erwerbspersonen!$C12</f>
        <v>6.2361820538232831</v>
      </c>
      <c r="BL11" s="21">
        <f>100*Monatswerte!BL11/Erwerbspersonen!$C12</f>
        <v>6.5640009148433327</v>
      </c>
      <c r="BM11" s="21">
        <f>100*Monatswerte!BM11/Erwerbspersonen!$C12</f>
        <v>6.8613249980940765</v>
      </c>
      <c r="BN11" s="21">
        <f>100*Monatswerte!BN11/Erwerbspersonen!$C12</f>
        <v>6.9604330258443241</v>
      </c>
      <c r="BO11" s="21">
        <f>100*Monatswerte!BO11/Erwerbspersonen!$C12</f>
        <v>7.0214225813829385</v>
      </c>
      <c r="BP11" s="21">
        <f>100*Monatswerte!BP11/Erwerbspersonen!$C12</f>
        <v>7.4940916368071964</v>
      </c>
      <c r="BQ11" s="21">
        <f>100*Monatswerte!BQ11/Erwerbspersonen!$C12</f>
        <v>8.0048791644430892</v>
      </c>
      <c r="BR11" s="21">
        <f>100*Monatswerte!BR11/Erwerbspersonen!$C12</f>
        <v>8.5080429976366538</v>
      </c>
      <c r="BS11" s="21">
        <f>100*Monatswerte!BS11/Erwerbspersonen!$C12</f>
        <v>8.6605168864831903</v>
      </c>
      <c r="BT11" s="21">
        <f>100*Monatswerte!BT11/Erwerbspersonen!$C12</f>
        <v>8.6223984142715562</v>
      </c>
      <c r="BU11" s="21">
        <f>100*Monatswerte!BU11/Erwerbspersonen!$C12</f>
        <v>8.6376458031562091</v>
      </c>
      <c r="BV11" s="27">
        <f>100*Monatswerte!BV11/Erwerbspersonen!$C12</f>
        <v>8.881604025310665</v>
      </c>
      <c r="BW11" s="21">
        <f>100*Monatswerte!BW11/Erwerbspersonen!$C12</f>
        <v>8.9425935808492802</v>
      </c>
      <c r="BX11" s="21">
        <f>100*Monatswerte!BX11/Erwerbspersonen!$C12</f>
        <v>8.5690325531752691</v>
      </c>
      <c r="BY11" s="21">
        <f>100*Monatswerte!BY11/Erwerbspersonen!$C12</f>
        <v>8.4165586643287345</v>
      </c>
      <c r="BZ11" s="21">
        <f>100*Monatswerte!BZ11/Erwerbspersonen!$C12</f>
        <v>7.9210185255774945</v>
      </c>
      <c r="CA11" s="21">
        <f>100*Monatswerte!CA11/Erwerbspersonen!$C12</f>
        <v>7.3721125257299684</v>
      </c>
      <c r="CB11" s="21">
        <f>100*Monatswerte!CB11/Erwerbspersonen!$C12</f>
        <v>6.8003354425554621</v>
      </c>
      <c r="CC11" s="21">
        <f>100*Monatswerte!CC11/Erwerbspersonen!$C12</f>
        <v>6.8841960814210568</v>
      </c>
      <c r="CD11" s="21">
        <f>100*Monatswerte!CD11/Erwerbspersonen!$C12</f>
        <v>7.189143859114127</v>
      </c>
      <c r="CE11" s="21">
        <f>100*Monatswerte!CE11/Erwerbspersonen!$C12</f>
        <v>6.6631089425935812</v>
      </c>
      <c r="CF11" s="21">
        <f>100*Monatswerte!CF11/Erwerbspersonen!$C12</f>
        <v>6.4267744148814518</v>
      </c>
      <c r="CG11" s="21">
        <f>100*Monatswerte!CG11/Erwerbspersonen!$C12</f>
        <v>6.2361820538232831</v>
      </c>
      <c r="CH11" s="27">
        <f>100*Monatswerte!CH11/Erwerbspersonen!$C12</f>
        <v>6.2285583593809557</v>
      </c>
      <c r="CI11" s="21">
        <f>100*Monatswerte!CI11/Erwerbspersonen!$C12</f>
        <v>6.3886559426698177</v>
      </c>
      <c r="CJ11" s="21">
        <f>100*Monatswerte!CJ11/Erwerbspersonen!$C12</f>
        <v>6.2056872760539754</v>
      </c>
      <c r="CK11" s="21">
        <f>100*Monatswerte!CK11/Erwerbspersonen!$C12</f>
        <v>5.7177708317450637</v>
      </c>
      <c r="CL11" s="21">
        <f>100*Monatswerte!CL11/Erwerbspersonen!$C12</f>
        <v>4.7724327208965462</v>
      </c>
      <c r="CM11" s="21">
        <f>100*Monatswerte!CM11/Erwerbspersonen!$C12</f>
        <v>4.2235267210490202</v>
      </c>
      <c r="CN11" s="21">
        <f>100*Monatswerte!CN11/Erwerbspersonen!$C12</f>
        <v>4.1854082488373869</v>
      </c>
      <c r="CO11" s="21">
        <f>100*Monatswerte!CO11/Erwerbspersonen!$C12</f>
        <v>4.2692688877029807</v>
      </c>
      <c r="CP11" s="21">
        <f>100*Monatswerte!CP11/Erwerbspersonen!$C12</f>
        <v>4.574216665396051</v>
      </c>
      <c r="CQ11" s="21">
        <f>100*Monatswerte!CQ11/Erwerbspersonen!$C12</f>
        <v>4.5208508042997639</v>
      </c>
      <c r="CR11" s="21">
        <f>100*Monatswerte!CR11/Erwerbspersonen!$C12</f>
        <v>4.6428299153769919</v>
      </c>
      <c r="CS11" s="21">
        <f>100*Monatswerte!CS11/Erwerbspersonen!$C12</f>
        <v>4.7724327208965462</v>
      </c>
      <c r="CT11" s="27">
        <f>100*Monatswerte!CT11/Erwerbspersonen!$C12</f>
        <v>5.1459937485705574</v>
      </c>
      <c r="CU11" s="21">
        <f>100*Monatswerte!CU11/Erwerbspersonen!$C12</f>
        <v>5.3823282762826867</v>
      </c>
      <c r="CV11" s="21">
        <f>100*Monatswerte!CV11/Erwerbspersonen!$C12</f>
        <v>5.5652969428985291</v>
      </c>
      <c r="CW11" s="21">
        <f>100*Monatswerte!CW11/Erwerbspersonen!$C12</f>
        <v>5.1536174430128838</v>
      </c>
      <c r="CX11" s="21">
        <f>100*Monatswerte!CX11/Erwerbspersonen!$C12</f>
        <v>4.9935198597240227</v>
      </c>
      <c r="CY11" s="21">
        <f>100*Monatswerte!CY11/Erwerbspersonen!$C12</f>
        <v>4.7190668598002592</v>
      </c>
      <c r="CZ11" s="21">
        <f>100*Monatswerte!CZ11/Erwerbspersonen!$C12</f>
        <v>4.5360981931844169</v>
      </c>
      <c r="DA11" s="21">
        <f>100*Monatswerte!DA11/Erwerbspersonen!$C12</f>
        <v>4.6657009987039721</v>
      </c>
      <c r="DB11" s="21">
        <f>100*Monatswerte!DB11/Erwerbspersonen!$C12</f>
        <v>5.1688648318975376</v>
      </c>
      <c r="DC11" s="21">
        <f>100*Monatswerte!DC11/Erwerbspersonen!$C12</f>
        <v>5.1154989708012506</v>
      </c>
      <c r="DD11" s="21">
        <f>100*Monatswerte!DD11/Erwerbspersonen!$C12</f>
        <v>5.2603491652054588</v>
      </c>
      <c r="DE11" s="21">
        <f>100*Monatswerte!DE11/Erwerbspersonen!$C12</f>
        <v>5.3137150263017459</v>
      </c>
      <c r="DF11" s="27">
        <f>100*Monatswerte!DF11/Erwerbspersonen!$C12</f>
        <v>5.7940077761683311</v>
      </c>
      <c r="DG11" s="21">
        <f>100*Monatswerte!DG11/Erwerbspersonen!$C12</f>
        <v>6.3124189982465504</v>
      </c>
      <c r="DH11" s="21">
        <f>100*Monatswerte!DH11/Erwerbspersonen!$C12</f>
        <v>6.1675688038423422</v>
      </c>
      <c r="DI11" s="21">
        <f>100*Monatswerte!DI11/Erwerbspersonen!$C12</f>
        <v>5.8549973317069455</v>
      </c>
      <c r="DJ11" s="21">
        <f>100*Monatswerte!DJ11/Erwerbspersonen!$C12</f>
        <v>5.5348021651292214</v>
      </c>
      <c r="DK11" s="21">
        <f>100*Monatswerte!DK11/Erwerbspersonen!$C12</f>
        <v>5.2222306929938247</v>
      </c>
      <c r="DL11" s="21">
        <f>100*Monatswerte!DL11/Erwerbspersonen!$C12</f>
        <v>4.9554013875123886</v>
      </c>
      <c r="DM11" s="21">
        <f>100*Monatswerte!DM11/Erwerbspersonen!$C12</f>
        <v>5.0087672486086756</v>
      </c>
      <c r="DN11" s="21">
        <f>100*Monatswerte!DN11/Erwerbspersonen!$C12</f>
        <v>5.1688648318975376</v>
      </c>
      <c r="DO11" s="21">
        <f>100*Monatswerte!DO11/Erwerbspersonen!$C12</f>
        <v>5.2298543874361512</v>
      </c>
      <c r="DP11" s="21">
        <f>100*Monatswerte!DP11/Erwerbspersonen!$C12</f>
        <v>5.2146069985514982</v>
      </c>
      <c r="DQ11" s="21">
        <f>100*Monatswerte!DQ11/Erwerbspersonen!$C12</f>
        <v>5.3137150263017459</v>
      </c>
      <c r="DR11" s="27">
        <f>100*Monatswerte!DR11/Erwerbspersonen!$C12</f>
        <v>5.3899519707250132</v>
      </c>
      <c r="DS11" s="21">
        <f>100*Monatswerte!DS11/Erwerbspersonen!$D12</f>
        <v>5.6089992242048101</v>
      </c>
      <c r="DT11" s="21">
        <f>100*Monatswerte!DT11/Erwerbspersonen!$D12</f>
        <v>5.3529868114817685</v>
      </c>
      <c r="DU11" s="21">
        <f>100*Monatswerte!DU11/Erwerbspersonen!$D12</f>
        <v>5.1900698215671062</v>
      </c>
      <c r="DV11" s="21">
        <f>100*Monatswerte!DV11/Erwerbspersonen!$D12</f>
        <v>4.9030256012412723</v>
      </c>
      <c r="DW11" s="21">
        <f>100*Monatswerte!DW11/Erwerbspersonen!$D12</f>
        <v>4.7323506594259115</v>
      </c>
      <c r="DX11" s="21">
        <f>100*Monatswerte!DX11/Erwerbspersonen!$D12</f>
        <v>4.7711404189294022</v>
      </c>
      <c r="DY11" s="21">
        <f>100*Monatswerte!DY11/Erwerbspersonen!$D12</f>
        <v>4.8642358417377816</v>
      </c>
      <c r="DZ11" s="21">
        <f>100*Monatswerte!DZ11/Erwerbspersonen!$D12</f>
        <v>4.724592707525213</v>
      </c>
      <c r="EA11" s="21">
        <f>100*Monatswerte!EA11/Erwerbspersonen!$D12</f>
        <v>4.52288595810706</v>
      </c>
      <c r="EB11" s="21">
        <f>100*Monatswerte!EB11/Erwerbspersonen!$D12</f>
        <v>4.2823894491854153</v>
      </c>
      <c r="EC11" s="21">
        <f>100*Monatswerte!EC11/Erwerbspersonen!$D12</f>
        <v>4.4142746314972845</v>
      </c>
      <c r="ED11" s="21">
        <f>100*Monatswerte!ED11/Erwerbspersonen!$D12</f>
        <v>4.8332040341349884</v>
      </c>
      <c r="EE11" s="25">
        <f>100*Monatswerte!EE11/Erwerbspersonen!$D12</f>
        <v>4.9185415050426684</v>
      </c>
      <c r="EF11" s="21">
        <f>100*Monatswerte!EF11/Erwerbspersonen!$D12</f>
        <v>5.0349107835531424</v>
      </c>
      <c r="EG11" s="21">
        <f>100*Monatswerte!EG11/Erwerbspersonen!$D12</f>
        <v>5.04266873545384</v>
      </c>
      <c r="EH11" s="21">
        <f>100*Monatswerte!EH11/Erwerbspersonen!$D12</f>
        <v>5.0038789759503493</v>
      </c>
      <c r="EI11" s="21">
        <f>100*Monatswerte!EI11/Erwerbspersonen!$D12</f>
        <v>4.7944142746314977</v>
      </c>
      <c r="EJ11" s="21">
        <f>100*Monatswerte!EJ11/Erwerbspersonen!$D12</f>
        <v>5.0116369278510478</v>
      </c>
      <c r="EK11" s="21">
        <f>100*Monatswerte!EK11/Erwerbspersonen!$D12</f>
        <v>5.6012412723041116</v>
      </c>
      <c r="EL11" s="21">
        <f>100*Monatswerte!EL11/Erwerbspersonen!$D12</f>
        <v>5.5159038013964317</v>
      </c>
      <c r="EM11" s="21">
        <f>100*Monatswerte!EM11/Erwerbspersonen!$D12</f>
        <v>5.4305663304887508</v>
      </c>
      <c r="EN11" s="21">
        <f>100*Monatswerte!EN11/Erwerbspersonen!$D12</f>
        <v>5.4383242823894493</v>
      </c>
      <c r="EO11" s="21">
        <f>100*Monatswerte!EO11/Erwerbspersonen!$D12</f>
        <v>5.6710628394103955</v>
      </c>
      <c r="EP11" s="21">
        <f>100*Monatswerte!EP11/Erwerbspersonen!$D12</f>
        <v>5.896043444530644</v>
      </c>
      <c r="EQ11" s="25">
        <f>100*Monatswerte!EQ11/Erwerbspersonen!$D12</f>
        <v>5.8650116369278509</v>
      </c>
      <c r="ER11" s="21">
        <f>100*Monatswerte!ER11/Erwerbspersonen!$D12</f>
        <v>5.8727695888285494</v>
      </c>
      <c r="ES11" s="21">
        <f>100*Monatswerte!ES11/Erwerbspersonen!$D12</f>
        <v>5.4615981380915439</v>
      </c>
      <c r="ET11" s="21">
        <f>100*Monatswerte!ET11/Erwerbspersonen!$D12</f>
        <v>5.1823118696664077</v>
      </c>
      <c r="EU11" s="21">
        <f>100*Monatswerte!EU11/Erwerbspersonen!$D12</f>
        <v>4.9961210240496507</v>
      </c>
      <c r="EV11" s="21">
        <f>100*Monatswerte!EV11/Erwerbspersonen!$D12</f>
        <v>4.7866563227307992</v>
      </c>
      <c r="EW11" s="21">
        <f>100*Monatswerte!EW11/Erwerbspersonen!$D12</f>
        <v>4.9650892164468576</v>
      </c>
      <c r="EX11" s="21">
        <f>100*Monatswerte!EX11/Erwerbspersonen!$D12</f>
        <v>5.5236617532971293</v>
      </c>
      <c r="EY11" s="21">
        <f>100*Monatswerte!EY11/Erwerbspersonen!$D12</f>
        <v>5.5236617532971293</v>
      </c>
      <c r="EZ11" s="21">
        <f>100*Monatswerte!EZ11/Erwerbspersonen!$D12</f>
        <v>5.3452288595810709</v>
      </c>
      <c r="FA11" s="21">
        <f>100*Monatswerte!FA11/Erwerbspersonen!$D12</f>
        <v>5.2521334367726924</v>
      </c>
      <c r="FB11" s="27">
        <f>100*Monatswerte!FB11/Erwerbspersonen!$D12</f>
        <v>5.5702094647013185</v>
      </c>
      <c r="FC11" s="21">
        <f>100*Monatswerte!FC11/Erwerbspersonen!$E12</f>
        <v>5.8138581385813861</v>
      </c>
      <c r="FD11" s="21">
        <f>100*Monatswerte!FD11/Erwerbspersonen!$E12</f>
        <v>5.6744567445674461</v>
      </c>
      <c r="FE11" s="21">
        <f>100*Monatswerte!FE11/Erwerbspersonen!$E12</f>
        <v>5.403854038540385</v>
      </c>
      <c r="FF11" s="21">
        <f>100*Monatswerte!FF11/Erwerbspersonen!$E12</f>
        <v>5.0758507585075847</v>
      </c>
      <c r="FG11" s="21">
        <f>100*Monatswerte!FG11/Erwerbspersonen!$E12</f>
        <v>4.7806478064780649</v>
      </c>
      <c r="FH11" s="21">
        <f>100*Monatswerte!FH11/Erwerbspersonen!$E12</f>
        <v>4.4608446084460844</v>
      </c>
      <c r="FI11" s="21">
        <f>100*Monatswerte!FI11/Erwerbspersonen!$E12</f>
        <v>4.7478474784747844</v>
      </c>
      <c r="FJ11" s="21">
        <f>100*Monatswerte!FJ11/Erwerbspersonen!$E12</f>
        <v>4.6904469044690451</v>
      </c>
      <c r="FK11" s="21">
        <f>100*Monatswerte!FK11/Erwerbspersonen!$E12</f>
        <v>4.6330463304633049</v>
      </c>
      <c r="FL11" s="21">
        <f>100*Monatswerte!FL11/Erwerbspersonen!$E12</f>
        <v>4.5182451824518246</v>
      </c>
      <c r="FM11" s="21">
        <f>100*Monatswerte!FM11/Erwerbspersonen!$E12</f>
        <v>4.6904469044690451</v>
      </c>
      <c r="FN11" s="21">
        <f>100*Monatswerte!FN11/Erwerbspersonen!$E12</f>
        <v>4.838048380483805</v>
      </c>
      <c r="FO11" s="25">
        <f>100*Monatswerte!FO11/Erwerbspersonen!$E12</f>
        <v>5.0184501845018454</v>
      </c>
      <c r="FP11" s="21">
        <f>100*Monatswerte!FP11/Erwerbspersonen!$E12</f>
        <v>5.0676506765067648</v>
      </c>
      <c r="FQ11" s="21">
        <f>100*Monatswerte!FQ11/Erwerbspersonen!$E12</f>
        <v>4.7970479704797047</v>
      </c>
      <c r="FR11" s="21">
        <f>100*Monatswerte!FR11/Erwerbspersonen!$E12</f>
        <v>4.6166461664616643</v>
      </c>
      <c r="FS11" s="21">
        <f>100*Monatswerte!FS11/Erwerbspersonen!$E12</f>
        <v>4.2394423944239445</v>
      </c>
      <c r="FT11" s="21">
        <f>100*Monatswerte!FT11/Erwerbspersonen!$E12</f>
        <v>3.9196391963919641</v>
      </c>
      <c r="FU11" s="21">
        <f>100*Monatswerte!FU11/Erwerbspersonen!$E12</f>
        <v>4.1984419844198442</v>
      </c>
      <c r="FV11" s="21">
        <f>100*Monatswerte!FV11/Erwerbspersonen!$E12</f>
        <v>4.4198441984419841</v>
      </c>
      <c r="FW11" s="21">
        <f>100*Monatswerte!FW11/Erwerbspersonen!$E12</f>
        <v>4.1328413284132841</v>
      </c>
      <c r="FX11" s="21">
        <f>100*Monatswerte!FX11/Erwerbspersonen!$E12</f>
        <v>4.0918409184091837</v>
      </c>
      <c r="FY11" s="21">
        <f>100*Monatswerte!FY11/Erwerbspersonen!$E12</f>
        <v>4.2476424764247644</v>
      </c>
      <c r="FZ11" s="21">
        <f>100*Monatswerte!FZ11/Erwerbspersonen!$E12</f>
        <v>4.2230422304223039</v>
      </c>
      <c r="GA11" s="25">
        <f>100*Monatswerte!GA11/Erwerbspersonen!$E12</f>
        <v>4.1820418204182044</v>
      </c>
      <c r="GB11" s="21">
        <f>100*Monatswerte!GB11/Erwerbspersonen!$E12</f>
        <v>4.1738417384173845</v>
      </c>
      <c r="GC11" s="21">
        <f>100*Monatswerte!GC11/Erwerbspersonen!$E12</f>
        <v>4.1000410004100045</v>
      </c>
      <c r="GD11" s="21">
        <f>100*Monatswerte!GD11/Erwerbspersonen!$E12</f>
        <v>3.7720377203772038</v>
      </c>
      <c r="GE11" s="21">
        <f>100*Monatswerte!GE11/Erwerbspersonen!$E12</f>
        <v>3.6244362443624438</v>
      </c>
      <c r="GF11" s="21">
        <f>100*Monatswerte!GF11/Erwerbspersonen!$E12</f>
        <v>3.5752357523575236</v>
      </c>
      <c r="GG11" s="21">
        <f>100*Monatswerte!GG11/Erwerbspersonen!$E12</f>
        <v>3.8294382943829439</v>
      </c>
      <c r="GH11" s="21">
        <f>100*Monatswerte!GH11/Erwerbspersonen!$E12</f>
        <v>3.7146371463714636</v>
      </c>
      <c r="GI11" s="21">
        <f>100*Monatswerte!GI11/Erwerbspersonen!$E12</f>
        <v>3.7228372283722839</v>
      </c>
      <c r="GJ11" s="21">
        <f>100*Monatswerte!GJ11/Erwerbspersonen!$E12</f>
        <v>3.895038950389504</v>
      </c>
      <c r="GK11" s="21">
        <f>100*Monatswerte!GK11/Erwerbspersonen!$E12</f>
        <v>4.067240672406724</v>
      </c>
      <c r="GL11" s="21">
        <f>100*Monatswerte!GL11/Erwerbspersonen!$E12</f>
        <v>4.1820418204182044</v>
      </c>
      <c r="GM11" s="25">
        <f>100*Monatswerte!GM11/Erwerbspersonen!$F12</f>
        <v>4.379146995633481</v>
      </c>
      <c r="GN11" s="21">
        <f>100*Monatswerte!GN11/Erwerbspersonen!$F12</f>
        <v>4.0860195091103471</v>
      </c>
      <c r="GO11" s="21">
        <f>100*Monatswerte!GO11/Erwerbspersonen!$F12</f>
        <v>4.9742846197865092</v>
      </c>
      <c r="GP11" s="21">
        <f>100*Monatswerte!GP11/Erwerbspersonen!$F12</f>
        <v>6.0135547992776193</v>
      </c>
      <c r="GQ11" s="21">
        <f>100*Monatswerte!GQ11/Erwerbspersonen!$F12</f>
        <v>6.1112639614519972</v>
      </c>
      <c r="GR11" s="21">
        <f>100*Monatswerte!GR11/Erwerbspersonen!$F12</f>
        <v>6.3244475880142765</v>
      </c>
      <c r="GS11" s="21">
        <f>100*Monatswerte!GS11/Erwerbspersonen!$F12</f>
        <v>6.7774627944591197</v>
      </c>
      <c r="GT11" s="21">
        <f>100*Monatswerte!GT11/Erwerbspersonen!$F12</f>
        <v>6.8307587010996889</v>
      </c>
      <c r="GU11" s="21">
        <f>100*Monatswerte!GU11/Erwerbspersonen!$F12</f>
        <v>6.3333302391210378</v>
      </c>
      <c r="GV11" s="21">
        <f>100*Monatswerte!GV11/Erwerbspersonen!$F12</f>
        <v>6.1379119147722827</v>
      </c>
      <c r="GW11" s="21">
        <f>100*Monatswerte!GW11/Erwerbspersonen!$F12</f>
        <v>6.3244475880142765</v>
      </c>
      <c r="GX11" s="27">
        <f>100*Monatswerte!GX11/Erwerbspersonen!$F12</f>
        <v>6.5731618190036016</v>
      </c>
      <c r="GY11" s="21">
        <f>100*Monatswerte!GY11/Erwerbspersonen!$F12</f>
        <v>6.5642791678968404</v>
      </c>
      <c r="GZ11" s="21">
        <f>100*Monatswerte!GZ11/Erwerbspersonen!$F12</f>
        <v>6.3066822858007532</v>
      </c>
      <c r="HA11" s="21">
        <f>100*Monatswerte!HA11/Erwerbspersonen!$F12</f>
        <v>6.0846160081317127</v>
      </c>
      <c r="HB11" s="21">
        <f>100*Monatswerte!HB11/Erwerbspersonen!$F12</f>
        <v>5.6671314061139162</v>
      </c>
      <c r="HC11" s="21">
        <f>100*Monatswerte!HC11/Erwerbspersonen!$F12</f>
        <v>5.409534524017829</v>
      </c>
      <c r="HD11" s="21">
        <f>100*Monatswerte!HD11/Erwerbspersonen!$F12</f>
        <v>5.1963508974555506</v>
      </c>
      <c r="HE11" s="21">
        <f>100*Monatswerte!HE11/Erwerbspersonen!$F12</f>
        <v>5.311825361843451</v>
      </c>
      <c r="HF11" s="21">
        <f>100*Monatswerte!HF11/Erwerbspersonen!$F12</f>
        <v>5.1341723397082184</v>
      </c>
      <c r="HG11" s="21">
        <f>100*Monatswerte!HG11/Erwerbspersonen!$F12</f>
        <v>4.7344530399039453</v>
      </c>
      <c r="HH11" s="21">
        <f>100*Monatswerte!HH11/Erwerbspersonen!$F12</f>
        <v>4.5301520644484281</v>
      </c>
      <c r="HI11" s="21">
        <f>100*Monatswerte!HI11/Erwerbspersonen!$F12</f>
        <v>4.4590908555943356</v>
      </c>
      <c r="HJ11" s="21">
        <f>100*Monatswerte!HJ11/Erwerbspersonen!$F12</f>
        <v>4.5923306221957594</v>
      </c>
      <c r="HK11" s="60">
        <f>100*Monatswerte!HK11/Erwerbspersonen!$F12</f>
        <v>4.4857388089146202</v>
      </c>
      <c r="HL11" s="3">
        <f>100*Monatswerte!HL11/Erwerbspersonen!$F12</f>
        <v>4.4413255533808123</v>
      </c>
      <c r="HM11" s="3">
        <f>100*Monatswerte!HM11/Erwerbspersonen!$F12</f>
        <v>4.1037848113238704</v>
      </c>
      <c r="HN11" s="3">
        <f>100*Monatswerte!HN11/Erwerbspersonen!$F12</f>
        <v>3.9083664869751145</v>
      </c>
      <c r="HO11" s="3">
        <f>100*Monatswerte!HO11/Erwerbspersonen!$F12</f>
        <v>3.5530604427046497</v>
      </c>
      <c r="HP11" s="3">
        <f>100*Monatswerte!HP11/Erwerbspersonen!$F12</f>
        <v>3.3221115139288475</v>
      </c>
      <c r="HQ11" s="3">
        <f>100*Monatswerte!HQ11/Erwerbspersonen!$F12</f>
        <v>3.4198206761032255</v>
      </c>
      <c r="HR11" s="3">
        <f>100*Monatswerte!HR11/Erwerbspersonen!$F12</f>
        <v>3.0911625851530453</v>
      </c>
      <c r="HS11" s="3">
        <f>100*Monatswerte!HS11/Erwerbspersonen!$F12</f>
        <v>2.9312748652313361</v>
      </c>
      <c r="HT11" s="3">
        <f>100*Monatswerte!HT11/Erwerbspersonen!$F12</f>
        <v>2.9668054696583823</v>
      </c>
      <c r="HU11" s="3">
        <f>100*Monatswerte!HU11/Erwerbspersonen!$F12</f>
        <v>2.9579228185516206</v>
      </c>
      <c r="HV11" s="64">
        <f>100*Monatswerte!HV11/Erwerbspersonen!$F12</f>
        <v>2.9579228185516206</v>
      </c>
      <c r="HW11" s="3">
        <f>100*[5]Monatswerte!HW11/[5]Erwerbspersonen!$F12</f>
        <v>2.9312748652313361</v>
      </c>
      <c r="HX11" s="3">
        <f>100*[5]Monatswerte!HX11/[5]Erwerbspersonen!$F12</f>
        <v>3.1355758406868532</v>
      </c>
      <c r="HY11" s="3">
        <f>100*[5]Monatswerte!HY11/[5]Erwerbspersonen!$F12</f>
        <v>3.3132288628220858</v>
      </c>
      <c r="HZ11" s="3">
        <f>100*[5]Monatswerte!HZ11/[5]Erwerbspersonen!$F12</f>
        <v>3.0467493296192369</v>
      </c>
      <c r="IA11" s="3">
        <f>100*[5]Monatswerte!IA11/[5]Erwerbspersonen!$F12</f>
        <v>3.073397282939522</v>
      </c>
      <c r="IB11" s="3">
        <f>100*[5]Monatswerte!IB11/[5]Erwerbspersonen!$F12</f>
        <v>3.1799890962206616</v>
      </c>
      <c r="IC11" s="3">
        <f>100*[5]Monatswerte!IC11/[5]Erwerbspersonen!$F12</f>
        <v>3.2244023517544695</v>
      </c>
      <c r="ID11" s="3">
        <f>100*[5]Monatswerte!ID11/[5]Erwerbspersonen!$F12</f>
        <v>3.1533411429003766</v>
      </c>
      <c r="IE11" s="3">
        <f>100*[5]Monatswerte!IE11/[5]Erwerbspersonen!$F12</f>
        <v>3.0556319807259986</v>
      </c>
      <c r="IF11" s="3">
        <f>100*[5]Monatswerte!IF11/[5]Erwerbspersonen!$F12</f>
        <v>3.2066370495409462</v>
      </c>
      <c r="IG11" s="3">
        <f>100*[5]Monatswerte!IG11/[5]Erwerbspersonen!$F12</f>
        <v>3.3309941650356092</v>
      </c>
      <c r="IH11" s="3">
        <f>100*[5]Monatswerte!IH11/[5]Erwerbspersonen!$F12</f>
        <v>3.5708257449181731</v>
      </c>
      <c r="II11" s="60">
        <f>100*[6]Monatswerte!II11/[6]Erwerbspersonen!$G12</f>
        <v>4.078073910983262</v>
      </c>
      <c r="IJ11" s="3">
        <f>100*[6]Monatswerte!IJ11/[6]Erwerbspersonen!$G12</f>
        <v>4.1861674363346255</v>
      </c>
      <c r="IK11" s="3">
        <f>100*[6]Monatswerte!IK11/[6]Erwerbspersonen!$G12</f>
        <v>4.1370340157203689</v>
      </c>
      <c r="IL11" s="3">
        <f>100*[6]Monatswerte!IL11/[6]Erwerbspersonen!$G12</f>
        <v>4.2353008569488813</v>
      </c>
      <c r="IM11" s="3">
        <f>100*[6]Monatswerte!IM11/[6]Erwerbspersonen!$G12</f>
        <v>4.294260961685989</v>
      </c>
      <c r="IN11" s="3">
        <f>100*[6]Monatswerte!IN11/[6]Erwerbspersonen!$G12</f>
        <v>4.3040876458088402</v>
      </c>
      <c r="IO11" s="3">
        <f>100*[6]Monatswerte!IO11/[6]Erwerbspersonen!$G12</f>
        <v>4.5792348012486741</v>
      </c>
      <c r="IP11" s="3">
        <f>100*[6]Monatswerte!IP11/[6]Erwerbspersonen!$G12</f>
        <v>4.7855951678285509</v>
      </c>
      <c r="IQ11" s="3">
        <f>100*[6]Monatswerte!IQ11/[6]Erwerbspersonen!$G12</f>
        <v>4.8347285884428066</v>
      </c>
      <c r="IR11" s="3">
        <f>100*[6]Monatswerte!IR11/[6]Erwerbspersonen!$G12</f>
        <v>4.9133420614256167</v>
      </c>
      <c r="IS11" s="3">
        <f>100*[6]Monatswerte!IS11/[6]Erwerbspersonen!$G12</f>
        <v>5.2572760057254095</v>
      </c>
      <c r="IT11" s="3">
        <f>100*[6]Monatswerte!IT11/[6]Erwerbspersonen!$G12</f>
        <v>5.4538096881824343</v>
      </c>
      <c r="IU11" s="60">
        <f>100*[7]Monatswerte!IU11/[7]Erwerbspersonen!$G12</f>
        <v>5.5717298976566489</v>
      </c>
      <c r="IV11" s="3">
        <f>100*[7]Monatswerte!IV11/[7]Erwerbspersonen!$G12</f>
        <v>5.8567037372193349</v>
      </c>
      <c r="IW11" s="3">
        <f>100*[7]Monatswerte!IW11/[7]Erwerbspersonen!$G12</f>
        <v>5.787916948359376</v>
      </c>
      <c r="IX11" s="3">
        <f>100*[7]Monatswerte!IX11/[7]Erwerbspersonen!$G12</f>
        <v>5.4538096881824343</v>
      </c>
      <c r="IY11" s="3">
        <f>100*[7]Monatswerte!IY11/[7]Erwerbspersonen!$G12</f>
        <v>5.0017822185312779</v>
      </c>
      <c r="IZ11" s="3">
        <f>100*[7]Monatswerte!IZ11/[7]Erwerbspersonen!$G12</f>
        <v>5.1295291121283437</v>
      </c>
      <c r="JA11" s="3">
        <f>100*[7]Monatswerte!JA11/[7]Erwerbspersonen!$G12</f>
        <v>5.4931164246738389</v>
      </c>
      <c r="JB11" s="3">
        <f>100*[7]Monatswerte!JB11/[7]Erwerbspersonen!$G12</f>
        <v>5.8272236848507815</v>
      </c>
      <c r="JC11" s="3">
        <f>100*[7]Monatswerte!JC11/[7]Erwerbspersonen!$G12</f>
        <v>5.8763571054650372</v>
      </c>
      <c r="JD11" s="3">
        <f>100*[7]Monatswerte!JD11/[7]Erwerbspersonen!$G12</f>
        <v>6.0925441561677642</v>
      </c>
      <c r="JE11" s="3">
        <f>100*[7]Monatswerte!JE11/[7]Erwerbspersonen!$G12</f>
        <v>6.0434107355535085</v>
      </c>
      <c r="JF11" s="3">
        <f>100*[7]Monatswerte!JF11/[7]Erwerbspersonen!$G12</f>
        <v>5.8861837895878883</v>
      </c>
      <c r="JG11" s="60">
        <f>100*[7]Monatswerte!JG11/[7]Erwerbspersonen!$G12</f>
        <v>6.0630641037992108</v>
      </c>
      <c r="JH11" s="3">
        <f>100*[7]Monatswerte!JH11/[7]Erwerbspersonen!$G12</f>
        <v>5.7387835277451202</v>
      </c>
      <c r="JI11" s="3">
        <f>100*[7]Monatswerte!JI11/[7]Erwerbspersonen!$G12</f>
        <v>5.3850228993224754</v>
      </c>
    </row>
    <row r="12" spans="1:269" s="1" customFormat="1" x14ac:dyDescent="0.2">
      <c r="A12" s="1" t="s">
        <v>37</v>
      </c>
      <c r="B12" s="1">
        <v>9</v>
      </c>
      <c r="C12" s="21">
        <f>100*Monatswerte!C12/Erwerbspersonen!$B13</f>
        <v>8.0603346688663677</v>
      </c>
      <c r="D12" s="21">
        <f>100*Monatswerte!D12/Erwerbspersonen!$B13</f>
        <v>8.162463665645376</v>
      </c>
      <c r="E12" s="21">
        <f>100*Monatswerte!E12/Erwerbspersonen!$B13</f>
        <v>7.934637442061435</v>
      </c>
      <c r="F12" s="21">
        <f>100*Monatswerte!F12/Erwerbspersonen!$B13</f>
        <v>7.5339775316207085</v>
      </c>
      <c r="G12" s="21">
        <f>100*Monatswerte!G12/Erwerbspersonen!$B13</f>
        <v>7.1568858512059075</v>
      </c>
      <c r="H12" s="21">
        <f>100*Monatswerte!H12/Erwerbspersonen!$B13</f>
        <v>6.7876502474664155</v>
      </c>
      <c r="I12" s="21">
        <f>100*Monatswerte!I12/Erwerbspersonen!$B13</f>
        <v>6.5912483305837064</v>
      </c>
      <c r="J12" s="21">
        <f>100*Monatswerte!J12/Erwerbspersonen!$B13</f>
        <v>6.5519679472071646</v>
      </c>
      <c r="K12" s="21">
        <f>100*Monatswerte!K12/Erwerbspersonen!$B13</f>
        <v>6.3241417236232227</v>
      </c>
      <c r="L12" s="21">
        <f>100*Monatswerte!L12/Erwerbspersonen!$B13</f>
        <v>6.104171576714589</v>
      </c>
      <c r="M12" s="21">
        <f>100*Monatswerte!M12/Erwerbspersonen!$B13</f>
        <v>6.4734071804540809</v>
      </c>
      <c r="N12" s="27">
        <f>100*Monatswerte!N12/Erwerbspersonen!$B13</f>
        <v>6.62267263728494</v>
      </c>
      <c r="O12" s="21">
        <f>100*Monatswerte!O12/Erwerbspersonen!$B13</f>
        <v>6.7562259407651819</v>
      </c>
      <c r="P12" s="21">
        <f>100*Monatswerte!P12/Erwerbspersonen!$B13</f>
        <v>6.7797941707911074</v>
      </c>
      <c r="Q12" s="21">
        <f>100*Monatswerte!Q12/Erwerbspersonen!$B13</f>
        <v>6.4027024903763063</v>
      </c>
      <c r="R12" s="21">
        <f>100*Monatswerte!R12/Erwerbspersonen!$B13</f>
        <v>6.151308036766439</v>
      </c>
      <c r="S12" s="21">
        <f>100*Monatswerte!S12/Erwerbspersonen!$B13</f>
        <v>6.2063005734935972</v>
      </c>
      <c r="T12" s="21">
        <f>100*Monatswerte!T12/Erwerbspersonen!$B13</f>
        <v>5.9863304265849635</v>
      </c>
      <c r="U12" s="21">
        <f>100*Monatswerte!U12/Erwerbspersonen!$B13</f>
        <v>6.0727472700133553</v>
      </c>
      <c r="V12" s="21">
        <f>100*Monatswerte!V12/Erwerbspersonen!$B13</f>
        <v>5.8920575064812635</v>
      </c>
      <c r="W12" s="21">
        <f>100*Monatswerte!W12/Erwerbspersonen!$B13</f>
        <v>5.8842014298059553</v>
      </c>
      <c r="X12" s="21">
        <f>100*Monatswerte!X12/Erwerbspersonen!$B13</f>
        <v>6.0256108099615053</v>
      </c>
      <c r="Y12" s="21">
        <f>100*Monatswerte!Y12/Erwerbspersonen!$B13</f>
        <v>6.2298688035195227</v>
      </c>
      <c r="Z12" s="27">
        <f>100*Monatswerte!Z12/Erwerbspersonen!$B13</f>
        <v>6.1905884201429808</v>
      </c>
      <c r="AA12" s="21">
        <f>100*Monatswerte!AA12/Erwerbspersonen!$B13</f>
        <v>6.3398538769738391</v>
      </c>
      <c r="AB12" s="21">
        <f>100*Monatswerte!AB12/Erwerbspersonen!$B13</f>
        <v>6.1748762667923636</v>
      </c>
      <c r="AC12" s="21">
        <f>100*Monatswerte!AC12/Erwerbspersonen!$B13</f>
        <v>6.0963155000392808</v>
      </c>
      <c r="AD12" s="21">
        <f>100*Monatswerte!AD12/Erwerbspersonen!$B13</f>
        <v>5.8134967397281798</v>
      </c>
      <c r="AE12" s="21">
        <f>100*Monatswerte!AE12/Erwerbspersonen!$B13</f>
        <v>5.727079896299788</v>
      </c>
      <c r="AF12" s="21">
        <f>100*Monatswerte!AF12/Erwerbspersonen!$B13</f>
        <v>5.5228219027417706</v>
      </c>
      <c r="AG12" s="21">
        <f>100*Monatswerte!AG12/Erwerbspersonen!$B13</f>
        <v>5.397124675936837</v>
      </c>
      <c r="AH12" s="21">
        <f>100*Monatswerte!AH12/Erwerbspersonen!$B13</f>
        <v>5.2085788357294369</v>
      </c>
      <c r="AI12" s="21">
        <f>100*Monatswerte!AI12/Erwerbspersonen!$B13</f>
        <v>5.3028517558331369</v>
      </c>
      <c r="AJ12" s="21">
        <f>100*Monatswerte!AJ12/Erwerbspersonen!$B13</f>
        <v>5.1378741456516615</v>
      </c>
      <c r="AK12" s="21">
        <f>100*Monatswerte!AK12/Erwerbspersonen!$B13</f>
        <v>5.1928666823788197</v>
      </c>
      <c r="AL12" s="27">
        <f>100*Monatswerte!AL12/Erwerbspersonen!$B13</f>
        <v>5.4206929059627624</v>
      </c>
      <c r="AM12" s="21">
        <f>100*Monatswerte!AM12/Erwerbspersonen!$B13</f>
        <v>5.4835415193652288</v>
      </c>
      <c r="AN12" s="21">
        <f>100*Monatswerte!AN12/Erwerbspersonen!$B13</f>
        <v>5.491397596040537</v>
      </c>
      <c r="AO12" s="21">
        <f>100*Monatswerte!AO12/Erwerbspersonen!$B13</f>
        <v>5.3107078325084451</v>
      </c>
      <c r="AP12" s="21">
        <f>100*Monatswerte!AP12/Erwerbspersonen!$B13</f>
        <v>5.0828816089245032</v>
      </c>
      <c r="AQ12" s="21">
        <f>100*Monatswerte!AQ12/Erwerbspersonen!$B13</f>
        <v>5.0514573022232696</v>
      </c>
      <c r="AR12" s="21">
        <f>100*Monatswerte!AR12/Erwerbspersonen!$B13</f>
        <v>4.8393432319899441</v>
      </c>
      <c r="AS12" s="21">
        <f>100*Monatswerte!AS12/Erwerbspersonen!$B13</f>
        <v>4.6822216984837768</v>
      </c>
      <c r="AT12" s="21">
        <f>100*Monatswerte!AT12/Erwerbspersonen!$B13</f>
        <v>4.5800927017047686</v>
      </c>
      <c r="AU12" s="21">
        <f>100*Monatswerte!AU12/Erwerbspersonen!$B13</f>
        <v>4.5958048550553849</v>
      </c>
      <c r="AV12" s="21">
        <f>100*Monatswerte!AV12/Erwerbspersonen!$B13</f>
        <v>4.4936758582763767</v>
      </c>
      <c r="AW12" s="21">
        <f>100*Monatswerte!AW12/Erwerbspersonen!$B13</f>
        <v>4.5643805483541522</v>
      </c>
      <c r="AX12" s="27">
        <f>100*Monatswerte!AX12/Erwerbspersonen!$B13</f>
        <v>4.8629114620158695</v>
      </c>
      <c r="AY12" s="21">
        <f>100*Monatswerte!AY12/Erwerbspersonen!$C13</f>
        <v>5.0832809553739784</v>
      </c>
      <c r="AZ12" s="21">
        <f>100*Monatswerte!AZ12/Erwerbspersonen!$C13</f>
        <v>4.7925832809553741</v>
      </c>
      <c r="BA12" s="21">
        <f>100*Monatswerte!BA12/Erwerbspersonen!$C13</f>
        <v>4.8318667504714012</v>
      </c>
      <c r="BB12" s="21">
        <f>100*Monatswerte!BB12/Erwerbspersonen!$C13</f>
        <v>4.8632935260842238</v>
      </c>
      <c r="BC12" s="21">
        <f>100*Monatswerte!BC12/Erwerbspersonen!$C13</f>
        <v>4.541169076052797</v>
      </c>
      <c r="BD12" s="21">
        <f>100*Monatswerte!BD12/Erwerbspersonen!$C13</f>
        <v>4.3290383406662478</v>
      </c>
      <c r="BE12" s="21">
        <f>100*Monatswerte!BE12/Erwerbspersonen!$C13</f>
        <v>4.1954745443117538</v>
      </c>
      <c r="BF12" s="21">
        <f>100*Monatswerte!BF12/Erwerbspersonen!$C13</f>
        <v>4.1561910747957258</v>
      </c>
      <c r="BG12" s="21">
        <f>100*Monatswerte!BG12/Erwerbspersonen!$C13</f>
        <v>4.3368950345694532</v>
      </c>
      <c r="BH12" s="21">
        <f>100*Monatswerte!BH12/Erwerbspersonen!$C13</f>
        <v>4.3918918918918921</v>
      </c>
      <c r="BI12" s="21">
        <f>100*Monatswerte!BI12/Erwerbspersonen!$C13</f>
        <v>4.8318667504714012</v>
      </c>
      <c r="BJ12" s="27">
        <f>100*Monatswerte!BJ12/Erwerbspersonen!$C13</f>
        <v>5.3896920175989944</v>
      </c>
      <c r="BK12" s="21">
        <f>100*Monatswerte!BK12/Erwerbspersonen!$C13</f>
        <v>5.8610936517913261</v>
      </c>
      <c r="BL12" s="21">
        <f>100*Monatswerte!BL12/Erwerbspersonen!$C13</f>
        <v>6.0732243871778753</v>
      </c>
      <c r="BM12" s="21">
        <f>100*Monatswerte!BM12/Erwerbspersonen!$C13</f>
        <v>6.3482086737900687</v>
      </c>
      <c r="BN12" s="21">
        <f>100*Monatswerte!BN12/Erwerbspersonen!$C13</f>
        <v>6.7253299811439344</v>
      </c>
      <c r="BO12" s="21">
        <f>100*Monatswerte!BO12/Erwerbspersonen!$C13</f>
        <v>6.9296040226272781</v>
      </c>
      <c r="BP12" s="21">
        <f>100*Monatswerte!BP12/Erwerbspersonen!$C13</f>
        <v>7.4717159019484605</v>
      </c>
      <c r="BQ12" s="21">
        <f>100*Monatswerte!BQ12/Erwerbspersonen!$C13</f>
        <v>7.4167190446260216</v>
      </c>
      <c r="BR12" s="21">
        <f>100*Monatswerte!BR12/Erwerbspersonen!$C13</f>
        <v>7.2752985543683222</v>
      </c>
      <c r="BS12" s="21">
        <f>100*Monatswerte!BS12/Erwerbspersonen!$C13</f>
        <v>7.5267127592708984</v>
      </c>
      <c r="BT12" s="21">
        <f>100*Monatswerte!BT12/Erwerbspersonen!$C13</f>
        <v>7.9981143934632311</v>
      </c>
      <c r="BU12" s="21">
        <f>100*Monatswerte!BU12/Erwerbspersonen!$C13</f>
        <v>8.2181018227529847</v>
      </c>
      <c r="BV12" s="27">
        <f>100*Monatswerte!BV12/Erwerbspersonen!$C13</f>
        <v>8.7366436203645499</v>
      </c>
      <c r="BW12" s="21">
        <f>100*Monatswerte!BW12/Erwerbspersonen!$C13</f>
        <v>8.6030798240100559</v>
      </c>
      <c r="BX12" s="21">
        <f>100*Monatswerte!BX12/Erwerbspersonen!$C13</f>
        <v>8.4695160276555619</v>
      </c>
      <c r="BY12" s="21">
        <f>100*Monatswerte!BY12/Erwerbspersonen!$C13</f>
        <v>8.3123821495914516</v>
      </c>
      <c r="BZ12" s="21">
        <f>100*Monatswerte!BZ12/Erwerbspersonen!$C13</f>
        <v>7.7388434946574485</v>
      </c>
      <c r="CA12" s="21">
        <f>100*Monatswerte!CA12/Erwerbspersonen!$C13</f>
        <v>7.3931489629164044</v>
      </c>
      <c r="CB12" s="21">
        <f>100*Monatswerte!CB12/Erwerbspersonen!$C13</f>
        <v>7.157448145820239</v>
      </c>
      <c r="CC12" s="21">
        <f>100*Monatswerte!CC12/Erwerbspersonen!$C13</f>
        <v>6.8667504714016339</v>
      </c>
      <c r="CD12" s="21">
        <f>100*Monatswerte!CD12/Erwerbspersonen!$C13</f>
        <v>6.7960402262727841</v>
      </c>
      <c r="CE12" s="21">
        <f>100*Monatswerte!CE12/Erwerbspersonen!$C13</f>
        <v>6.756756756756757</v>
      </c>
      <c r="CF12" s="21">
        <f>100*Monatswerte!CF12/Erwerbspersonen!$C13</f>
        <v>6.5996228786926459</v>
      </c>
      <c r="CG12" s="21">
        <f>100*Monatswerte!CG12/Erwerbspersonen!$C13</f>
        <v>6.5760527969830296</v>
      </c>
      <c r="CH12" s="27">
        <f>100*Monatswerte!CH12/Erwerbspersonen!$C13</f>
        <v>6.9217473287240727</v>
      </c>
      <c r="CI12" s="21">
        <f>100*Monatswerte!CI12/Erwerbspersonen!$C13</f>
        <v>6.851037083595223</v>
      </c>
      <c r="CJ12" s="21">
        <f>100*Monatswerte!CJ12/Erwerbspersonen!$C13</f>
        <v>6.3953488372093021</v>
      </c>
      <c r="CK12" s="21">
        <f>100*Monatswerte!CK12/Erwerbspersonen!$C13</f>
        <v>6.0260842237586427</v>
      </c>
      <c r="CL12" s="21">
        <f>100*Monatswerte!CL12/Erwerbspersonen!$C13</f>
        <v>5.3739786297925836</v>
      </c>
      <c r="CM12" s="21">
        <f>100*Monatswerte!CM12/Erwerbspersonen!$C13</f>
        <v>5.2247014456316778</v>
      </c>
      <c r="CN12" s="21">
        <f>100*Monatswerte!CN12/Erwerbspersonen!$C13</f>
        <v>5.0439974858579513</v>
      </c>
      <c r="CO12" s="21">
        <f>100*Monatswerte!CO12/Erwerbspersonen!$C13</f>
        <v>4.7925832809553741</v>
      </c>
      <c r="CP12" s="21">
        <f>100*Monatswerte!CP12/Erwerbspersonen!$C13</f>
        <v>4.769013199245757</v>
      </c>
      <c r="CQ12" s="21">
        <f>100*Monatswerte!CQ12/Erwerbspersonen!$C13</f>
        <v>4.9104336895034573</v>
      </c>
      <c r="CR12" s="21">
        <f>100*Monatswerte!CR12/Erwerbspersonen!$C13</f>
        <v>4.8632935260842238</v>
      </c>
      <c r="CS12" s="21">
        <f>100*Monatswerte!CS12/Erwerbspersonen!$C13</f>
        <v>5.4446888749214333</v>
      </c>
      <c r="CT12" s="27">
        <f>100*Monatswerte!CT12/Erwerbspersonen!$C13</f>
        <v>5.7118164676304213</v>
      </c>
      <c r="CU12" s="21">
        <f>100*Monatswerte!CU12/Erwerbspersonen!$C13</f>
        <v>5.8296668761785044</v>
      </c>
      <c r="CV12" s="21">
        <f>100*Monatswerte!CV12/Erwerbspersonen!$C13</f>
        <v>5.7746700188560656</v>
      </c>
      <c r="CW12" s="21">
        <f>100*Monatswerte!CW12/Erwerbspersonen!$C13</f>
        <v>5.5703959773727219</v>
      </c>
      <c r="CX12" s="21">
        <f>100*Monatswerte!CX12/Erwerbspersonen!$C13</f>
        <v>5.5389692017598993</v>
      </c>
      <c r="CY12" s="21">
        <f>100*Monatswerte!CY12/Erwerbspersonen!$C13</f>
        <v>5.5546825895663101</v>
      </c>
      <c r="CZ12" s="21">
        <f>100*Monatswerte!CZ12/Erwerbspersonen!$C13</f>
        <v>5.5625392834695164</v>
      </c>
      <c r="DA12" s="21">
        <f>100*Monatswerte!DA12/Erwerbspersonen!$C13</f>
        <v>5.5782526712759273</v>
      </c>
      <c r="DB12" s="21">
        <f>100*Monatswerte!DB12/Erwerbspersonen!$C13</f>
        <v>5.4054054054054053</v>
      </c>
      <c r="DC12" s="21">
        <f>100*Monatswerte!DC12/Erwerbspersonen!$C13</f>
        <v>5.5075424261470776</v>
      </c>
      <c r="DD12" s="21">
        <f>100*Monatswerte!DD12/Erwerbspersonen!$C13</f>
        <v>5.7982401005656818</v>
      </c>
      <c r="DE12" s="21">
        <f>100*Monatswerte!DE12/Erwerbspersonen!$C13</f>
        <v>6.1753614079195476</v>
      </c>
      <c r="DF12" s="27">
        <f>100*Monatswerte!DF12/Erwerbspersonen!$C13</f>
        <v>6.5603394091766187</v>
      </c>
      <c r="DG12" s="21">
        <f>100*Monatswerte!DG12/Erwerbspersonen!$C13</f>
        <v>6.8196103079824013</v>
      </c>
      <c r="DH12" s="21">
        <f>100*Monatswerte!DH12/Erwerbspersonen!$C13</f>
        <v>6.8667504714016339</v>
      </c>
      <c r="DI12" s="21">
        <f>100*Monatswerte!DI12/Erwerbspersonen!$C13</f>
        <v>6.623192960402263</v>
      </c>
      <c r="DJ12" s="21">
        <f>100*Monatswerte!DJ12/Erwerbspersonen!$C13</f>
        <v>6.489629164047769</v>
      </c>
      <c r="DK12" s="21">
        <f>100*Monatswerte!DK12/Erwerbspersonen!$C13</f>
        <v>6.1360779384035196</v>
      </c>
      <c r="DL12" s="21">
        <f>100*Monatswerte!DL12/Erwerbspersonen!$C13</f>
        <v>6.0653676932746698</v>
      </c>
      <c r="DM12" s="21">
        <f>100*Monatswerte!DM12/Erwerbspersonen!$C13</f>
        <v>6.183218101822753</v>
      </c>
      <c r="DN12" s="21">
        <f>100*Monatswerte!DN12/Erwerbspersonen!$C13</f>
        <v>6.1282212445003141</v>
      </c>
      <c r="DO12" s="21">
        <f>100*Monatswerte!DO12/Erwerbspersonen!$C13</f>
        <v>5.9318038969201758</v>
      </c>
      <c r="DP12" s="21">
        <f>100*Monatswerte!DP12/Erwerbspersonen!$C13</f>
        <v>6.1517913262099313</v>
      </c>
      <c r="DQ12" s="21">
        <f>100*Monatswerte!DQ12/Erwerbspersonen!$C13</f>
        <v>6.2617850408548081</v>
      </c>
      <c r="DR12" s="27">
        <f>100*Monatswerte!DR12/Erwerbspersonen!$C13</f>
        <v>6.623192960402263</v>
      </c>
      <c r="DS12" s="21">
        <f>100*Monatswerte!DS12/Erwerbspersonen!$D13</f>
        <v>5.5855387216333963</v>
      </c>
      <c r="DT12" s="21">
        <f>100*Monatswerte!DT12/Erwerbspersonen!$D13</f>
        <v>5.3059366668834125</v>
      </c>
      <c r="DU12" s="21">
        <f>100*Monatswerte!DU12/Erwerbspersonen!$D13</f>
        <v>5.2474153065869045</v>
      </c>
      <c r="DV12" s="21">
        <f>100*Monatswerte!DV12/Erwerbspersonen!$D13</f>
        <v>5.1173678392613304</v>
      </c>
      <c r="DW12" s="21">
        <f>100*Monatswerte!DW12/Erwerbspersonen!$D13</f>
        <v>4.9548085051043627</v>
      </c>
      <c r="DX12" s="21">
        <f>100*Monatswerte!DX12/Erwerbspersonen!$D13</f>
        <v>4.9222966382729698</v>
      </c>
      <c r="DY12" s="21">
        <f>100*Monatswerte!DY12/Erwerbspersonen!$D13</f>
        <v>4.8312634111450681</v>
      </c>
      <c r="DZ12" s="21">
        <f>100*Monatswerte!DZ12/Erwerbspersonen!$D13</f>
        <v>4.7077183171857726</v>
      </c>
      <c r="EA12" s="21">
        <f>100*Monatswerte!EA12/Erwerbspersonen!$D13</f>
        <v>4.5061447428311334</v>
      </c>
      <c r="EB12" s="21">
        <f>100*Monatswerte!EB12/Erwerbspersonen!$D13</f>
        <v>4.6101827166915923</v>
      </c>
      <c r="EC12" s="21">
        <f>100*Monatswerte!EC12/Erwerbspersonen!$D13</f>
        <v>4.6231874634241494</v>
      </c>
      <c r="ED12" s="21">
        <f>100*Monatswerte!ED12/Erwerbspersonen!$D13</f>
        <v>4.9613108784706421</v>
      </c>
      <c r="EE12" s="25">
        <f>100*Monatswerte!EE12/Erwerbspersonen!$D13</f>
        <v>5.0458417322322644</v>
      </c>
      <c r="EF12" s="21">
        <f>100*Monatswerte!EF12/Erwerbspersonen!$D13</f>
        <v>4.9808179985694778</v>
      </c>
      <c r="EG12" s="21">
        <f>100*Monatswerte!EG12/Erwerbspersonen!$D13</f>
        <v>5.1758891995578384</v>
      </c>
      <c r="EH12" s="21">
        <f>100*Monatswerte!EH12/Erwerbspersonen!$D13</f>
        <v>4.9157942649066912</v>
      </c>
      <c r="EI12" s="21">
        <f>100*Monatswerte!EI12/Erwerbspersonen!$D13</f>
        <v>4.8572729046101824</v>
      </c>
      <c r="EJ12" s="21">
        <f>100*Monatswerte!EJ12/Erwerbspersonen!$D13</f>
        <v>4.9808179985694778</v>
      </c>
      <c r="EK12" s="21">
        <f>100*Monatswerte!EK12/Erwerbspersonen!$D13</f>
        <v>5.006827492034593</v>
      </c>
      <c r="EL12" s="21">
        <f>100*Monatswerte!EL12/Erwerbspersonen!$D13</f>
        <v>5.0328369854997073</v>
      </c>
      <c r="EM12" s="21">
        <f>100*Monatswerte!EM12/Erwerbspersonen!$D13</f>
        <v>5.0263346121334287</v>
      </c>
      <c r="EN12" s="21">
        <f>100*Monatswerte!EN12/Erwerbspersonen!$D13</f>
        <v>5.2864295467845768</v>
      </c>
      <c r="EO12" s="21">
        <f>100*Monatswerte!EO12/Erwerbspersonen!$D13</f>
        <v>5.5010078678717731</v>
      </c>
      <c r="EP12" s="21">
        <f>100*Monatswerte!EP12/Erwerbspersonen!$D13</f>
        <v>5.9626763768775604</v>
      </c>
      <c r="EQ12" s="25">
        <f>100*Monatswerte!EQ12/Erwerbspersonen!$D13</f>
        <v>6.1122309643019701</v>
      </c>
      <c r="ER12" s="21">
        <f>100*Monatswerte!ER12/Erwerbspersonen!$D13</f>
        <v>6.1057285909356915</v>
      </c>
      <c r="ES12" s="21">
        <f>100*Monatswerte!ES12/Erwerbspersonen!$D13</f>
        <v>6.1707523245984781</v>
      </c>
      <c r="ET12" s="21">
        <f>100*Monatswerte!ET12/Erwerbspersonen!$D13</f>
        <v>6.040704857272905</v>
      </c>
      <c r="EU12" s="21">
        <f>100*Monatswerte!EU12/Erwerbspersonen!$D13</f>
        <v>5.9951882437089541</v>
      </c>
      <c r="EV12" s="21">
        <f>100*Monatswerte!EV12/Erwerbspersonen!$D13</f>
        <v>6.0081929904415112</v>
      </c>
      <c r="EW12" s="21">
        <f>100*Monatswerte!EW12/Erwerbspersonen!$D13</f>
        <v>5.735093309057806</v>
      </c>
      <c r="EX12" s="21">
        <f>100*Monatswerte!EX12/Erwerbspersonen!$D13</f>
        <v>5.6245529618310686</v>
      </c>
      <c r="EY12" s="21">
        <f>100*Monatswerte!EY12/Erwerbspersonen!$D13</f>
        <v>5.8001170427205926</v>
      </c>
      <c r="EZ12" s="21">
        <f>100*Monatswerte!EZ12/Erwerbspersonen!$D13</f>
        <v>5.9756811236101175</v>
      </c>
      <c r="FA12" s="21">
        <f>100*Monatswerte!FA12/Erwerbspersonen!$D13</f>
        <v>6.1187333376682487</v>
      </c>
      <c r="FB12" s="27">
        <f>100*Monatswerte!FB12/Erwerbspersonen!$D13</f>
        <v>6.1707523245984781</v>
      </c>
      <c r="FC12" s="21">
        <f>100*Monatswerte!FC12/Erwerbspersonen!$E13</f>
        <v>6.2043559749240611</v>
      </c>
      <c r="FD12" s="21">
        <f>100*Monatswerte!FD12/Erwerbspersonen!$E13</f>
        <v>6.2043559749240611</v>
      </c>
      <c r="FE12" s="21">
        <f>100*Monatswerte!FE12/Erwerbspersonen!$E13</f>
        <v>6.0815614295870226</v>
      </c>
      <c r="FF12" s="21">
        <f>100*Monatswerte!FF12/Erwerbspersonen!$E13</f>
        <v>5.8165837264913076</v>
      </c>
      <c r="FG12" s="21">
        <f>100*Monatswerte!FG12/Erwerbspersonen!$E13</f>
        <v>5.642086214696568</v>
      </c>
      <c r="FH12" s="21">
        <f>100*Monatswerte!FH12/Erwerbspersonen!$E13</f>
        <v>5.4158857364441282</v>
      </c>
      <c r="FI12" s="21">
        <f>100*Monatswerte!FI12/Erwerbspersonen!$E13</f>
        <v>5.2219996122277514</v>
      </c>
      <c r="FJ12" s="21">
        <f>100*Monatswerte!FJ12/Erwerbspersonen!$E13</f>
        <v>5.2026109998061143</v>
      </c>
      <c r="FK12" s="21">
        <f>100*Monatswerte!FK12/Erwerbspersonen!$E13</f>
        <v>5.2672397078782396</v>
      </c>
      <c r="FL12" s="21">
        <f>100*Monatswerte!FL12/Erwerbspersonen!$E13</f>
        <v>5.3447941575647899</v>
      </c>
      <c r="FM12" s="21">
        <f>100*Monatswerte!FM12/Erwerbspersonen!$E13</f>
        <v>5.5257545401667425</v>
      </c>
      <c r="FN12" s="21">
        <f>100*Monatswerte!FN12/Erwerbspersonen!$E13</f>
        <v>5.6873263103470562</v>
      </c>
      <c r="FO12" s="25">
        <f>100*Monatswerte!FO12/Erwerbspersonen!$E13</f>
        <v>5.6873263103470562</v>
      </c>
      <c r="FP12" s="21">
        <f>100*Monatswerte!FP12/Erwerbspersonen!$E13</f>
        <v>5.7390292768047564</v>
      </c>
      <c r="FQ12" s="21">
        <f>100*Monatswerte!FQ12/Erwerbspersonen!$E13</f>
        <v>5.6033089898532928</v>
      </c>
      <c r="FR12" s="21">
        <f>100*Monatswerte!FR12/Erwerbspersonen!$E13</f>
        <v>5.3124798035287277</v>
      </c>
      <c r="FS12" s="21">
        <f>100*Monatswerte!FS12/Erwerbspersonen!$E13</f>
        <v>4.9699476507464615</v>
      </c>
      <c r="FT12" s="21">
        <f>100*Monatswerte!FT12/Erwerbspersonen!$E13</f>
        <v>4.6791184644218964</v>
      </c>
      <c r="FU12" s="21">
        <f>100*Monatswerte!FU12/Erwerbspersonen!$E13</f>
        <v>4.582175402313708</v>
      </c>
      <c r="FV12" s="21">
        <f>100*Monatswerte!FV12/Erwerbspersonen!$E13</f>
        <v>4.4206036321333935</v>
      </c>
      <c r="FW12" s="21">
        <f>100*Monatswerte!FW12/Erwerbspersonen!$E13</f>
        <v>4.4206036321333935</v>
      </c>
      <c r="FX12" s="21">
        <f>100*Monatswerte!FX12/Erwerbspersonen!$E13</f>
        <v>4.3818264072901183</v>
      </c>
      <c r="FY12" s="21">
        <f>100*Monatswerte!FY12/Erwerbspersonen!$E13</f>
        <v>4.7372843016868096</v>
      </c>
      <c r="FZ12" s="21">
        <f>100*Monatswerte!FZ12/Erwerbspersonen!$E13</f>
        <v>5.0022620047825246</v>
      </c>
      <c r="GA12" s="25">
        <f>100*Monatswerte!GA12/Erwerbspersonen!$E13</f>
        <v>5.2284624830349644</v>
      </c>
      <c r="GB12" s="21">
        <f>100*Monatswerte!GB12/Erwerbspersonen!$E13</f>
        <v>5.099205066890713</v>
      </c>
      <c r="GC12" s="21">
        <f>100*Monatswerte!GC12/Erwerbspersonen!$E13</f>
        <v>4.9117818134815483</v>
      </c>
      <c r="GD12" s="21">
        <f>100*Monatswerte!GD12/Erwerbspersonen!$E13</f>
        <v>4.6920442060363214</v>
      </c>
      <c r="GE12" s="21">
        <f>100*Monatswerte!GE12/Erwerbspersonen!$E13</f>
        <v>4.6532669811930463</v>
      </c>
      <c r="GF12" s="21">
        <f>100*Monatswerte!GF12/Erwerbspersonen!$E13</f>
        <v>4.5498610482776449</v>
      </c>
      <c r="GG12" s="21">
        <f>100*Monatswerte!GG12/Erwerbspersonen!$E13</f>
        <v>4.543398177470432</v>
      </c>
      <c r="GH12" s="21">
        <f>100*Monatswerte!GH12/Erwerbspersonen!$E13</f>
        <v>4.3495120532540552</v>
      </c>
      <c r="GI12" s="21">
        <f>100*Monatswerte!GI12/Erwerbspersonen!$E13</f>
        <v>4.3882892780973313</v>
      </c>
      <c r="GJ12" s="21">
        <f>100*Monatswerte!GJ12/Erwerbspersonen!$E13</f>
        <v>4.4916952110127317</v>
      </c>
      <c r="GK12" s="21">
        <f>100*Monatswerte!GK12/Erwerbspersonen!$E13</f>
        <v>4.7114328184579586</v>
      </c>
      <c r="GL12" s="21">
        <f>100*Monatswerte!GL12/Erwerbspersonen!$E13</f>
        <v>4.9182446842887613</v>
      </c>
      <c r="GM12" s="25">
        <f>100*Monatswerte!GM12/Erwerbspersonen!$F13</f>
        <v>4.8545620762912174</v>
      </c>
      <c r="GN12" s="21">
        <f>100*Monatswerte!GN12/Erwerbspersonen!$F13</f>
        <v>4.6844561275262953</v>
      </c>
      <c r="GO12" s="21">
        <f>100*Monatswerte!GO12/Erwerbspersonen!$F13</f>
        <v>5.4237627510046078</v>
      </c>
      <c r="GP12" s="21">
        <f>100*Monatswerte!GP12/Erwerbspersonen!$F13</f>
        <v>6.1892395204467539</v>
      </c>
      <c r="GQ12" s="21">
        <f>100*Monatswerte!GQ12/Erwerbspersonen!$F13</f>
        <v>6.4182282976303018</v>
      </c>
      <c r="GR12" s="21">
        <f>100*Monatswerte!GR12/Erwerbspersonen!$F13</f>
        <v>6.503281272012762</v>
      </c>
      <c r="GS12" s="21">
        <f>100*Monatswerte!GS12/Erwerbspersonen!$F13</f>
        <v>6.6603021477957665</v>
      </c>
      <c r="GT12" s="21">
        <f>100*Monatswerte!GT12/Erwerbspersonen!$F13</f>
        <v>6.5490790274494719</v>
      </c>
      <c r="GU12" s="21">
        <f>100*Monatswerte!GU12/Erwerbspersonen!$F13</f>
        <v>6.6079618558680986</v>
      </c>
      <c r="GV12" s="21">
        <f>100*Monatswerte!GV12/Erwerbspersonen!$F13</f>
        <v>6.6668446842867253</v>
      </c>
      <c r="GW12" s="21">
        <f>100*Monatswerte!GW12/Erwerbspersonen!$F13</f>
        <v>6.9285461439250655</v>
      </c>
      <c r="GX12" s="27">
        <f>100*Monatswerte!GX12/Erwerbspersonen!$F13</f>
        <v>7.177162530581489</v>
      </c>
      <c r="GY12" s="21">
        <f>100*Monatswerte!GY12/Erwerbspersonen!$F13</f>
        <v>7.1706199940905311</v>
      </c>
      <c r="GZ12" s="21">
        <f>100*Monatswerte!GZ12/Erwerbspersonen!$F13</f>
        <v>7.13136477514478</v>
      </c>
      <c r="HA12" s="21">
        <f>100*Monatswerte!HA12/Erwerbspersonen!$F13</f>
        <v>6.7846103411239786</v>
      </c>
      <c r="HB12" s="21">
        <f>100*Monatswerte!HB12/Erwerbspersonen!$F13</f>
        <v>6.5163663449946796</v>
      </c>
      <c r="HC12" s="21">
        <f>100*Monatswerte!HC12/Erwerbspersonen!$F13</f>
        <v>6.4182282976303018</v>
      </c>
      <c r="HD12" s="21">
        <f>100*Monatswerte!HD12/Erwerbspersonen!$F13</f>
        <v>6.0453037176456661</v>
      </c>
      <c r="HE12" s="21">
        <f>100*Monatswerte!HE12/Erwerbspersonen!$F13</f>
        <v>5.7639746485344503</v>
      </c>
      <c r="HF12" s="21">
        <f>100*Monatswerte!HF12/Erwerbspersonen!$F13</f>
        <v>5.5022731888961101</v>
      </c>
      <c r="HG12" s="21">
        <f>100*Monatswerte!HG12/Erwerbspersonen!$F13</f>
        <v>5.32562470364023</v>
      </c>
      <c r="HH12" s="21">
        <f>100*Monatswerte!HH12/Erwerbspersonen!$F13</f>
        <v>5.0573807075109309</v>
      </c>
      <c r="HI12" s="21">
        <f>100*Monatswerte!HI12/Erwerbspersonen!$F13</f>
        <v>5.2929120211854377</v>
      </c>
      <c r="HJ12" s="21">
        <f>100*Monatswerte!HJ12/Erwerbspersonen!$F13</f>
        <v>5.3648799225859811</v>
      </c>
      <c r="HK12" s="60">
        <f>100*Monatswerte!HK12/Erwerbspersonen!$F13</f>
        <v>5.3517948496040644</v>
      </c>
      <c r="HL12" s="3">
        <f>100*Monatswerte!HL12/Erwerbspersonen!$F13</f>
        <v>5.3714224590769399</v>
      </c>
      <c r="HM12" s="3">
        <f>100*Monatswerte!HM12/Erwerbspersonen!$F13</f>
        <v>5.2274866562758522</v>
      </c>
      <c r="HN12" s="3">
        <f>100*Monatswerte!HN12/Erwerbspersonen!$F13</f>
        <v>4.9396150506736776</v>
      </c>
      <c r="HO12" s="3">
        <f>100*Monatswerte!HO12/Erwerbspersonen!$F13</f>
        <v>4.6386583720895862</v>
      </c>
      <c r="HP12" s="3">
        <f>100*Monatswerte!HP12/Erwerbspersonen!$F13</f>
        <v>4.4358397408698718</v>
      </c>
      <c r="HQ12" s="3">
        <f>100*Monatswerte!HQ12/Erwerbspersonen!$F13</f>
        <v>4.3573293029783704</v>
      </c>
      <c r="HR12" s="3">
        <f>100*Monatswerte!HR12/Erwerbspersonen!$F13</f>
        <v>4.1348830622857804</v>
      </c>
      <c r="HS12" s="3">
        <f>100*Monatswerte!HS12/Erwerbspersonen!$F13</f>
        <v>4.062915160885237</v>
      </c>
      <c r="HT12" s="3">
        <f>100*Monatswerte!HT12/Erwerbspersonen!$F13</f>
        <v>4.0367450149214026</v>
      </c>
      <c r="HU12" s="3">
        <f>100*Monatswerte!HU12/Erwerbspersonen!$F13</f>
        <v>4.0236599419394858</v>
      </c>
      <c r="HV12" s="64">
        <f>100*Monatswerte!HV12/Erwerbspersonen!$F13</f>
        <v>4.0432875514123614</v>
      </c>
      <c r="HW12" s="3">
        <f>100*[5]Monatswerte!HW12/[5]Erwerbspersonen!$F13</f>
        <v>4.0105748689575691</v>
      </c>
      <c r="HX12" s="3">
        <f>100*[5]Monatswerte!HX12/[5]Erwerbspersonen!$F13</f>
        <v>3.9451495040479836</v>
      </c>
      <c r="HY12" s="3">
        <f>100*[5]Monatswerte!HY12/[5]Erwerbspersonen!$F13</f>
        <v>3.7554159458101868</v>
      </c>
      <c r="HZ12" s="3">
        <f>100*[5]Monatswerte!HZ12/[5]Erwerbspersonen!$F13</f>
        <v>3.56568238757239</v>
      </c>
      <c r="IA12" s="3">
        <f>100*[5]Monatswerte!IA12/[5]Erwerbspersonen!$F13</f>
        <v>3.3955764388074683</v>
      </c>
      <c r="IB12" s="3">
        <f>100*[5]Monatswerte!IB12/[5]Erwerbspersonen!$F13</f>
        <v>3.4806294131899294</v>
      </c>
      <c r="IC12" s="3">
        <f>100*[5]Monatswerte!IC12/[5]Erwerbspersonen!$F13</f>
        <v>3.722703263355394</v>
      </c>
      <c r="ID12" s="3">
        <f>100*[5]Monatswerte!ID12/[5]Erwerbspersonen!$F13</f>
        <v>3.7619584823011452</v>
      </c>
      <c r="IE12" s="3">
        <f>100*[5]Monatswerte!IE12/[5]Erwerbspersonen!$F13</f>
        <v>3.7161607268644357</v>
      </c>
      <c r="IF12" s="3">
        <f>100*[5]Monatswerte!IF12/[5]Erwerbspersonen!$F13</f>
        <v>3.8797241391383985</v>
      </c>
      <c r="IG12" s="3">
        <f>100*[5]Monatswerte!IG12/[5]Erwerbspersonen!$F13</f>
        <v>4.1283405257948216</v>
      </c>
      <c r="IH12" s="3">
        <f>100*[5]Monatswerte!IH12/[5]Erwerbspersonen!$F13</f>
        <v>4.3049890110507016</v>
      </c>
      <c r="II12" s="60">
        <f>100*[6]Monatswerte!II12/[6]Erwerbspersonen!$G13</f>
        <v>4.7221799351047107</v>
      </c>
      <c r="IJ12" s="3">
        <f>100*[6]Monatswerte!IJ12/[6]Erwerbspersonen!$G13</f>
        <v>4.7701556383641206</v>
      </c>
      <c r="IK12" s="3">
        <f>100*[6]Monatswerte!IK12/[6]Erwerbspersonen!$G13</f>
        <v>4.5439844658554769</v>
      </c>
      <c r="IL12" s="3">
        <f>100*[6]Monatswerte!IL12/[6]Erwerbspersonen!$G13</f>
        <v>4.4411793874424568</v>
      </c>
      <c r="IM12" s="3">
        <f>100*[6]Monatswerte!IM12/[6]Erwerbspersonen!$G13</f>
        <v>4.4754477469134635</v>
      </c>
      <c r="IN12" s="3">
        <f>100*[6]Monatswerte!IN12/[6]Erwerbspersonen!$G13</f>
        <v>4.7153262632105095</v>
      </c>
      <c r="IO12" s="3">
        <f>100*[6]Monatswerte!IO12/[6]Erwerbspersonen!$G13</f>
        <v>4.9003754043539454</v>
      </c>
      <c r="IP12" s="3">
        <f>100*[6]Monatswerte!IP12/[6]Erwerbspersonen!$G13</f>
        <v>4.9277900919307509</v>
      </c>
      <c r="IQ12" s="3">
        <f>100*[6]Monatswerte!IQ12/[6]Erwerbspersonen!$G13</f>
        <v>5.0374488422379722</v>
      </c>
      <c r="IR12" s="3">
        <f>100*[6]Monatswerte!IR12/[6]Erwerbspersonen!$G13</f>
        <v>5.1676686082277969</v>
      </c>
      <c r="IS12" s="3">
        <f>100*[6]Monatswerte!IS12/[6]Erwerbspersonen!$G13</f>
        <v>5.4006934526306418</v>
      </c>
      <c r="IT12" s="3">
        <f>100*[6]Monatswerte!IT12/[6]Erwerbspersonen!$G13</f>
        <v>5.7570843911291103</v>
      </c>
      <c r="IU12" s="60">
        <f>100*[7]Monatswerte!IU12/[7]Erwerbspersonen!$G13</f>
        <v>5.9147188446957415</v>
      </c>
      <c r="IV12" s="3">
        <f>100*[7]Monatswerte!IV12/[7]Erwerbspersonen!$G13</f>
        <v>5.983255563637754</v>
      </c>
      <c r="IW12" s="3">
        <f>100*[7]Monatswerte!IW12/[7]Erwerbspersonen!$G13</f>
        <v>6.0723532982623718</v>
      </c>
      <c r="IX12" s="3">
        <f>100*[7]Monatswerte!IX12/[7]Erwerbspersonen!$G13</f>
        <v>5.9626945479551505</v>
      </c>
      <c r="IY12" s="3">
        <f>100*[7]Monatswerte!IY12/[7]Erwerbspersonen!$G13</f>
        <v>5.8530357976479293</v>
      </c>
      <c r="IZ12" s="3">
        <f>100*[7]Monatswerte!IZ12/[7]Erwerbspersonen!$G13</f>
        <v>5.9626945479551505</v>
      </c>
      <c r="JA12" s="3">
        <f>100*[7]Monatswerte!JA12/[7]Erwerbspersonen!$G13</f>
        <v>5.9695482198493517</v>
      </c>
      <c r="JB12" s="3">
        <f>100*[7]Monatswerte!JB12/[7]Erwerbspersonen!$G13</f>
        <v>5.6885476721870978</v>
      </c>
      <c r="JC12" s="3">
        <f>100*[7]Monatswerte!JC12/[7]Erwerbspersonen!$G13</f>
        <v>5.5240595467262654</v>
      </c>
      <c r="JD12" s="3">
        <f>100*[7]Monatswerte!JD12/[7]Erwerbspersonen!$G13</f>
        <v>5.7365233754465068</v>
      </c>
      <c r="JE12" s="3">
        <f>100*[7]Monatswerte!JE12/[7]Erwerbspersonen!$G13</f>
        <v>5.8324747819653249</v>
      </c>
      <c r="JF12" s="3">
        <f>100*[7]Monatswerte!JF12/[7]Erwerbspersonen!$G13</f>
        <v>6.0860606420507741</v>
      </c>
      <c r="JG12" s="60">
        <f>100*[7]Monatswerte!JG12/[7]Erwerbspersonen!$G13</f>
        <v>6.4287442367608403</v>
      </c>
      <c r="JH12" s="3">
        <f>100*[7]Monatswerte!JH12/[7]Erwerbspersonen!$G13</f>
        <v>6.1340363453101832</v>
      </c>
      <c r="JI12" s="3">
        <f>100*[7]Monatswerte!JI12/[7]Erwerbspersonen!$G13</f>
        <v>6.0449386106855663</v>
      </c>
    </row>
    <row r="13" spans="1:269" s="1" customFormat="1" x14ac:dyDescent="0.2">
      <c r="A13" s="1" t="s">
        <v>38</v>
      </c>
      <c r="B13" s="1">
        <v>10</v>
      </c>
      <c r="C13" s="21">
        <f>100*Monatswerte!C13/Erwerbspersonen!$B14</f>
        <v>5.1060873592497176</v>
      </c>
      <c r="D13" s="21">
        <f>100*Monatswerte!D13/Erwerbspersonen!$B14</f>
        <v>5.0742466784380698</v>
      </c>
      <c r="E13" s="21">
        <f>100*Monatswerte!E13/Erwerbspersonen!$B14</f>
        <v>5.0684574637450428</v>
      </c>
      <c r="F13" s="21">
        <f>100*Monatswerte!F13/Erwerbspersonen!$B14</f>
        <v>5.0684574637450428</v>
      </c>
      <c r="G13" s="21">
        <f>100*Monatswerte!G13/Erwerbspersonen!$B14</f>
        <v>4.8774133788751559</v>
      </c>
      <c r="H13" s="21">
        <f>100*Monatswerte!H13/Erwerbspersonen!$B14</f>
        <v>4.7529452629750777</v>
      </c>
      <c r="I13" s="21">
        <f>100*Monatswerte!I13/Erwerbspersonen!$B14</f>
        <v>4.7355776188959968</v>
      </c>
      <c r="J13" s="21">
        <f>100*Monatswerte!J13/Erwerbspersonen!$B14</f>
        <v>4.6487393985005934</v>
      </c>
      <c r="K13" s="21">
        <f>100*Monatswerte!K13/Erwerbspersonen!$B14</f>
        <v>4.6111095029959186</v>
      </c>
      <c r="L13" s="21">
        <f>100*Monatswerte!L13/Erwerbspersonen!$B14</f>
        <v>4.4750629577097865</v>
      </c>
      <c r="M13" s="21">
        <f>100*Monatswerte!M13/Erwerbspersonen!$B14</f>
        <v>4.5532173560656499</v>
      </c>
      <c r="N13" s="27">
        <f>100*Monatswerte!N13/Erwerbspersonen!$B14</f>
        <v>4.7326830115494829</v>
      </c>
      <c r="O13" s="21">
        <f>100*Monatswerte!O13/Erwerbspersonen!$B14</f>
        <v>4.7645236923611316</v>
      </c>
      <c r="P13" s="21">
        <f>100*Monatswerte!P13/Erwerbspersonen!$B14</f>
        <v>4.8282050539844272</v>
      </c>
      <c r="Q13" s="21">
        <f>100*Monatswerte!Q13/Erwerbspersonen!$B14</f>
        <v>4.7847859437867255</v>
      </c>
      <c r="R13" s="21">
        <f>100*Monatswerte!R13/Erwerbspersonen!$B14</f>
        <v>4.7153153674704029</v>
      </c>
      <c r="S13" s="21">
        <f>100*Monatswerte!S13/Erwerbspersonen!$B14</f>
        <v>4.6805800793122412</v>
      </c>
      <c r="T13" s="21">
        <f>100*Monatswerte!T13/Erwerbspersonen!$B14</f>
        <v>4.6603178278866473</v>
      </c>
      <c r="U13" s="21">
        <f>100*Monatswerte!U13/Erwerbspersonen!$B14</f>
        <v>4.4750629577097865</v>
      </c>
      <c r="V13" s="21">
        <f>100*Monatswerte!V13/Erwerbspersonen!$B14</f>
        <v>4.3274379830376013</v>
      </c>
      <c r="W13" s="21">
        <f>100*Monatswerte!W13/Erwerbspersonen!$B14</f>
        <v>4.2927026948794396</v>
      </c>
      <c r="X13" s="21">
        <f>100*Monatswerte!X13/Erwerbspersonen!$B14</f>
        <v>4.21744290387009</v>
      </c>
      <c r="Y13" s="21">
        <f>100*Monatswerte!Y13/Erwerbspersonen!$B14</f>
        <v>4.214548296523577</v>
      </c>
      <c r="Z13" s="27">
        <f>100*Monatswerte!Z13/Erwerbspersonen!$B14</f>
        <v>4.2434943699887109</v>
      </c>
      <c r="AA13" s="21">
        <f>100*Monatswerte!AA13/Erwerbspersonen!$B14</f>
        <v>4.2724404434538457</v>
      </c>
      <c r="AB13" s="21">
        <f>100*Monatswerte!AB13/Erwerbspersonen!$B14</f>
        <v>4.1769184010189022</v>
      </c>
      <c r="AC13" s="21">
        <f>100*Monatswerte!AC13/Erwerbspersonen!$B14</f>
        <v>4.0987640026630388</v>
      </c>
      <c r="AD13" s="21">
        <f>100*Monatswerte!AD13/Erwerbspersonen!$B14</f>
        <v>3.9453498132978262</v>
      </c>
      <c r="AE13" s="21">
        <f>100*Monatswerte!AE13/Erwerbspersonen!$B14</f>
        <v>3.8035140533186675</v>
      </c>
      <c r="AF13" s="21">
        <f>100*Monatswerte!AF13/Erwerbspersonen!$B14</f>
        <v>3.7600949431209658</v>
      </c>
      <c r="AG13" s="21">
        <f>100*Monatswerte!AG13/Erwerbspersonen!$B14</f>
        <v>3.5574724288650246</v>
      </c>
      <c r="AH13" s="21">
        <f>100*Monatswerte!AH13/Erwerbspersonen!$B14</f>
        <v>3.496685674588242</v>
      </c>
      <c r="AI13" s="21">
        <f>100*Monatswerte!AI13/Erwerbspersonen!$B14</f>
        <v>3.4301097056184329</v>
      </c>
      <c r="AJ13" s="21">
        <f>100*Monatswerte!AJ13/Erwerbspersonen!$B14</f>
        <v>3.3461660925695429</v>
      </c>
      <c r="AK13" s="21">
        <f>100*Monatswerte!AK13/Erwerbspersonen!$B14</f>
        <v>3.3230092337974355</v>
      </c>
      <c r="AL13" s="27">
        <f>100*Monatswerte!AL13/Erwerbspersonen!$B14</f>
        <v>3.3722175586881638</v>
      </c>
      <c r="AM13" s="21">
        <f>100*Monatswerte!AM13/Erwerbspersonen!$B14</f>
        <v>3.3577445219555968</v>
      </c>
      <c r="AN13" s="21">
        <f>100*Monatswerte!AN13/Erwerbspersonen!$B14</f>
        <v>3.3027469823718412</v>
      </c>
      <c r="AO13" s="21">
        <f>100*Monatswerte!AO13/Erwerbspersonen!$B14</f>
        <v>3.256433264827626</v>
      </c>
      <c r="AP13" s="21">
        <f>100*Monatswerte!AP13/Erwerbspersonen!$B14</f>
        <v>3.241960228095059</v>
      </c>
      <c r="AQ13" s="21">
        <f>100*Monatswerte!AQ13/Erwerbspersonen!$B14</f>
        <v>3.1435435783136016</v>
      </c>
      <c r="AR13" s="21">
        <f>100*Monatswerte!AR13/Erwerbspersonen!$B14</f>
        <v>3.085651431383333</v>
      </c>
      <c r="AS13" s="21">
        <f>100*Monatswerte!AS13/Erwerbspersonen!$B14</f>
        <v>3.0132862477204969</v>
      </c>
      <c r="AT13" s="21">
        <f>100*Monatswerte!AT13/Erwerbspersonen!$B14</f>
        <v>3.0248646771065504</v>
      </c>
      <c r="AU13" s="21">
        <f>100*Monatswerte!AU13/Erwerbspersonen!$B14</f>
        <v>2.8946073465134456</v>
      </c>
      <c r="AV13" s="21">
        <f>100*Monatswerte!AV13/Erwerbspersonen!$B14</f>
        <v>2.92355341997858</v>
      </c>
      <c r="AW13" s="21">
        <f>100*Monatswerte!AW13/Erwerbspersonen!$B14</f>
        <v>3.0219700697600369</v>
      </c>
      <c r="AX13" s="27">
        <f>100*Monatswerte!AX13/Erwerbspersonen!$B14</f>
        <v>3.1001244681158999</v>
      </c>
      <c r="AY13" s="21">
        <f>100*Monatswerte!AY13/Erwerbspersonen!$C14</f>
        <v>4.0498092887592554</v>
      </c>
      <c r="AZ13" s="21">
        <f>100*Monatswerte!AZ13/Erwerbspersonen!$C14</f>
        <v>3.7805698900605789</v>
      </c>
      <c r="BA13" s="21">
        <f>100*Monatswerte!BA13/Erwerbspersonen!$C14</f>
        <v>3.6721262433625008</v>
      </c>
      <c r="BB13" s="21">
        <f>100*Monatswerte!BB13/Erwerbspersonen!$C14</f>
        <v>3.7095206042928726</v>
      </c>
      <c r="BC13" s="21">
        <f>100*Monatswerte!BC13/Erwerbspersonen!$C14</f>
        <v>3.5487248522922745</v>
      </c>
      <c r="BD13" s="21">
        <f>100*Monatswerte!BD13/Erwerbspersonen!$C14</f>
        <v>3.451499513873308</v>
      </c>
      <c r="BE13" s="21">
        <f>100*Monatswerte!BE13/Erwerbspersonen!$C14</f>
        <v>3.3729713559195273</v>
      </c>
      <c r="BF13" s="21">
        <f>100*Monatswerte!BF13/Erwerbspersonen!$C14</f>
        <v>3.3617530476404158</v>
      </c>
      <c r="BG13" s="21">
        <f>100*Monatswerte!BG13/Erwerbspersonen!$C14</f>
        <v>3.5749009049435343</v>
      </c>
      <c r="BH13" s="21">
        <f>100*Monatswerte!BH13/Erwerbspersonen!$C14</f>
        <v>3.5337671079201258</v>
      </c>
      <c r="BI13" s="21">
        <f>100*Monatswerte!BI13/Erwerbspersonen!$C14</f>
        <v>3.6422107546182034</v>
      </c>
      <c r="BJ13" s="27">
        <f>100*Monatswerte!BJ13/Erwerbspersonen!$C14</f>
        <v>4.0834642135965895</v>
      </c>
      <c r="BK13" s="21">
        <f>100*Monatswerte!BK13/Erwerbspersonen!$C14</f>
        <v>4.4387106424351206</v>
      </c>
      <c r="BL13" s="21">
        <f>100*Monatswerte!BL13/Erwerbspersonen!$C14</f>
        <v>4.6518584997382391</v>
      </c>
      <c r="BM13" s="21">
        <f>100*Monatswerte!BM13/Erwerbspersonen!$C14</f>
        <v>4.9435345149951386</v>
      </c>
      <c r="BN13" s="21">
        <f>100*Monatswerte!BN13/Erwerbspersonen!$C14</f>
        <v>5.1679006805773691</v>
      </c>
      <c r="BO13" s="21">
        <f>100*Monatswerte!BO13/Erwerbspersonen!$C14</f>
        <v>5.2202527858798895</v>
      </c>
      <c r="BP13" s="21">
        <f>100*Monatswerte!BP13/Erwerbspersonen!$C14</f>
        <v>5.5418442898810856</v>
      </c>
      <c r="BQ13" s="21">
        <f>100*Monatswerte!BQ13/Erwerbspersonen!$C14</f>
        <v>5.594196395183606</v>
      </c>
      <c r="BR13" s="21">
        <f>100*Monatswerte!BR13/Erwerbspersonen!$C14</f>
        <v>5.6615062448582751</v>
      </c>
      <c r="BS13" s="21">
        <f>100*Monatswerte!BS13/Erwerbspersonen!$C14</f>
        <v>5.8559569216962082</v>
      </c>
      <c r="BT13" s="21">
        <f>100*Monatswerte!BT13/Erwerbspersonen!$C14</f>
        <v>5.8821329743474688</v>
      </c>
      <c r="BU13" s="21">
        <f>100*Monatswerte!BU13/Erwerbspersonen!$C14</f>
        <v>5.9419639518360627</v>
      </c>
      <c r="BV13" s="27">
        <f>100*Monatswerte!BV13/Erwerbspersonen!$C14</f>
        <v>6.2224216588138512</v>
      </c>
      <c r="BW13" s="21">
        <f>100*Monatswerte!BW13/Erwerbspersonen!$C14</f>
        <v>6.2336399670929623</v>
      </c>
      <c r="BX13" s="21">
        <f>100*Monatswerte!BX13/Erwerbspersonen!$C14</f>
        <v>6.248597711465111</v>
      </c>
      <c r="BY13" s="21">
        <f>100*Monatswerte!BY13/Erwerbspersonen!$C14</f>
        <v>6.1401540647670334</v>
      </c>
      <c r="BZ13" s="21">
        <f>100*Monatswerte!BZ13/Erwerbspersonen!$C14</f>
        <v>5.9232667713708773</v>
      </c>
      <c r="CA13" s="21">
        <f>100*Monatswerte!CA13/Erwerbspersonen!$C14</f>
        <v>5.799865380300651</v>
      </c>
      <c r="CB13" s="21">
        <f>100*Monatswerte!CB13/Erwerbspersonen!$C14</f>
        <v>5.5829780869044949</v>
      </c>
      <c r="CC13" s="21">
        <f>100*Monatswerte!CC13/Erwerbspersonen!$C14</f>
        <v>5.3025203799267073</v>
      </c>
      <c r="CD13" s="21">
        <f>100*Monatswerte!CD13/Erwerbspersonen!$C14</f>
        <v>5.123027447460923</v>
      </c>
      <c r="CE13" s="21">
        <f>100*Monatswerte!CE13/Erwerbspersonen!$C14</f>
        <v>4.9248373345299532</v>
      </c>
      <c r="CF13" s="21">
        <f>100*Monatswerte!CF13/Erwerbspersonen!$C14</f>
        <v>4.9921471842046223</v>
      </c>
      <c r="CG13" s="21">
        <f>100*Monatswerte!CG13/Erwerbspersonen!$C14</f>
        <v>4.9584922593672873</v>
      </c>
      <c r="CH13" s="27">
        <f>100*Monatswerte!CH13/Erwerbspersonen!$C14</f>
        <v>5.0631964699723282</v>
      </c>
      <c r="CI13" s="21">
        <f>100*Monatswerte!CI13/Erwerbspersonen!$C14</f>
        <v>4.8986612818786925</v>
      </c>
      <c r="CJ13" s="21">
        <f>100*Monatswerte!CJ13/Erwerbspersonen!$C14</f>
        <v>4.7416049659711312</v>
      </c>
      <c r="CK13" s="21">
        <f>100*Monatswerte!CK13/Erwerbspersonen!$C14</f>
        <v>4.6032458305287562</v>
      </c>
      <c r="CL13" s="21">
        <f>100*Monatswerte!CL13/Erwerbspersonen!$C14</f>
        <v>4.2479994016902252</v>
      </c>
      <c r="CM13" s="21">
        <f>100*Monatswerte!CM13/Erwerbspersonen!$C14</f>
        <v>3.9899783112706606</v>
      </c>
      <c r="CN13" s="21">
        <f>100*Monatswerte!CN13/Erwerbspersonen!$C14</f>
        <v>3.9600628225263632</v>
      </c>
      <c r="CO13" s="21">
        <f>100*Monatswerte!CO13/Erwerbspersonen!$C14</f>
        <v>3.6534290628973149</v>
      </c>
      <c r="CP13" s="21">
        <f>100*Monatswerte!CP13/Erwerbspersonen!$C14</f>
        <v>3.5524642883853117</v>
      </c>
      <c r="CQ13" s="21">
        <f>100*Monatswerte!CQ13/Erwerbspersonen!$C14</f>
        <v>3.6309924463390919</v>
      </c>
      <c r="CR13" s="21">
        <f>100*Monatswerte!CR13/Erwerbspersonen!$C14</f>
        <v>3.73943609303717</v>
      </c>
      <c r="CS13" s="21">
        <f>100*Monatswerte!CS13/Erwerbspersonen!$C14</f>
        <v>4.0797247775035528</v>
      </c>
      <c r="CT13" s="27">
        <f>100*Monatswerte!CT13/Erwerbspersonen!$C14</f>
        <v>4.3676613566674147</v>
      </c>
      <c r="CU13" s="21">
        <f>100*Monatswerte!CU13/Erwerbspersonen!$C14</f>
        <v>4.4574078229003069</v>
      </c>
      <c r="CV13" s="21">
        <f>100*Monatswerte!CV13/Erwerbspersonen!$C14</f>
        <v>4.4574078229003069</v>
      </c>
      <c r="CW13" s="21">
        <f>100*Monatswerte!CW13/Erwerbspersonen!$C14</f>
        <v>4.3676613566674147</v>
      </c>
      <c r="CX13" s="21">
        <f>100*Monatswerte!CX13/Erwerbspersonen!$C14</f>
        <v>4.2853937626205969</v>
      </c>
      <c r="CY13" s="21">
        <f>100*Monatswerte!CY13/Erwerbspersonen!$C14</f>
        <v>4.1881684242016304</v>
      </c>
      <c r="CZ13" s="21">
        <f>100*Monatswerte!CZ13/Erwerbspersonen!$C14</f>
        <v>4.1881684242016304</v>
      </c>
      <c r="DA13" s="21">
        <f>100*Monatswerte!DA13/Erwerbspersonen!$C14</f>
        <v>4.1245980106199989</v>
      </c>
      <c r="DB13" s="21">
        <f>100*Monatswerte!DB13/Erwerbspersonen!$C14</f>
        <v>4.1956472963877047</v>
      </c>
      <c r="DC13" s="21">
        <f>100*Monatswerte!DC13/Erwerbspersonen!$C14</f>
        <v>4.1657318076434073</v>
      </c>
      <c r="DD13" s="21">
        <f>100*Monatswerte!DD13/Erwerbspersonen!$C14</f>
        <v>4.3676613566674147</v>
      </c>
      <c r="DE13" s="21">
        <f>100*Monatswerte!DE13/Erwerbspersonen!$C14</f>
        <v>4.7453444020641689</v>
      </c>
      <c r="DF13" s="27">
        <f>100*Monatswerte!DF13/Erwerbspersonen!$C14</f>
        <v>4.9809288759255104</v>
      </c>
      <c r="DG13" s="21">
        <f>100*Monatswerte!DG13/Erwerbspersonen!$C14</f>
        <v>5.1903372971355921</v>
      </c>
      <c r="DH13" s="21">
        <f>100*Monatswerte!DH13/Erwerbspersonen!$C14</f>
        <v>5.2277316580659638</v>
      </c>
      <c r="DI13" s="21">
        <f>100*Monatswerte!DI13/Erwerbspersonen!$C14</f>
        <v>5.0183232368558821</v>
      </c>
      <c r="DJ13" s="21">
        <f>100*Monatswerte!DJ13/Erwerbspersonen!$C14</f>
        <v>5.0220626729489197</v>
      </c>
      <c r="DK13" s="21">
        <f>100*Monatswerte!DK13/Erwerbspersonen!$C14</f>
        <v>4.9173584623438789</v>
      </c>
      <c r="DL13" s="21">
        <f>100*Monatswerte!DL13/Erwerbspersonen!$C14</f>
        <v>4.7902176351806149</v>
      </c>
      <c r="DM13" s="21">
        <f>100*Monatswerte!DM13/Erwerbspersonen!$C14</f>
        <v>4.6742951162964621</v>
      </c>
      <c r="DN13" s="21">
        <f>100*Monatswerte!DN13/Erwerbspersonen!$C14</f>
        <v>4.4349712063420839</v>
      </c>
      <c r="DO13" s="21">
        <f>100*Monatswerte!DO13/Erwerbspersonen!$C14</f>
        <v>4.4387106424351206</v>
      </c>
      <c r="DP13" s="21">
        <f>100*Monatswerte!DP13/Erwerbspersonen!$C14</f>
        <v>4.6967317328546851</v>
      </c>
      <c r="DQ13" s="21">
        <f>100*Monatswerte!DQ13/Erwerbspersonen!$C14</f>
        <v>4.9659711315533617</v>
      </c>
      <c r="DR13" s="27">
        <f>100*Monatswerte!DR13/Erwerbspersonen!$C14</f>
        <v>5.123027447460923</v>
      </c>
      <c r="DS13" s="21">
        <f>100*Monatswerte!DS13/Erwerbspersonen!$D14</f>
        <v>4.7619047619047619</v>
      </c>
      <c r="DT13" s="21">
        <f>100*Monatswerte!DT13/Erwerbspersonen!$D14</f>
        <v>4.7654294878573191</v>
      </c>
      <c r="DU13" s="21">
        <f>100*Monatswerte!DU13/Erwerbspersonen!$D14</f>
        <v>4.6314899016601458</v>
      </c>
      <c r="DV13" s="21">
        <f>100*Monatswerte!DV13/Erwerbspersonen!$D14</f>
        <v>4.5645201085615597</v>
      </c>
      <c r="DW13" s="21">
        <f>100*Monatswerte!DW13/Erwerbspersonen!$D14</f>
        <v>4.4376299742695009</v>
      </c>
      <c r="DX13" s="21">
        <f>100*Monatswerte!DX13/Erwerbspersonen!$D14</f>
        <v>4.3882838109337001</v>
      </c>
      <c r="DY13" s="21">
        <f>100*Monatswerte!DY13/Erwerbspersonen!$D14</f>
        <v>4.3530365514081284</v>
      </c>
      <c r="DZ13" s="21">
        <f>100*Monatswerte!DZ13/Erwerbspersonen!$D14</f>
        <v>4.1309788163970254</v>
      </c>
      <c r="EA13" s="21">
        <f>100*Monatswerte!EA13/Erwerbspersonen!$D14</f>
        <v>4.1098304606816818</v>
      </c>
      <c r="EB13" s="21">
        <f>100*Monatswerte!EB13/Erwerbspersonen!$D14</f>
        <v>4.152127172112368</v>
      </c>
      <c r="EC13" s="21">
        <f>100*Monatswerte!EC13/Erwerbspersonen!$D14</f>
        <v>4.321314017835113</v>
      </c>
      <c r="ED13" s="21">
        <f>100*Monatswerte!ED13/Erwerbspersonen!$D14</f>
        <v>4.529272849035987</v>
      </c>
      <c r="EE13" s="25">
        <f>100*Monatswerte!EE13/Erwerbspersonen!$D14</f>
        <v>4.5363223009411016</v>
      </c>
      <c r="EF13" s="21">
        <f>100*Monatswerte!EF13/Erwerbspersonen!$D14</f>
        <v>4.4940255895104153</v>
      </c>
      <c r="EG13" s="21">
        <f>100*Monatswerte!EG13/Erwerbspersonen!$D14</f>
        <v>4.5997673680871314</v>
      </c>
      <c r="EH13" s="21">
        <f>100*Monatswerte!EH13/Erwerbspersonen!$D14</f>
        <v>4.6702618871382748</v>
      </c>
      <c r="EI13" s="21">
        <f>100*Monatswerte!EI13/Erwerbspersonen!$D14</f>
        <v>4.5997673680871314</v>
      </c>
      <c r="EJ13" s="21">
        <f>100*Monatswerte!EJ13/Erwerbspersonen!$D14</f>
        <v>4.6737866130908321</v>
      </c>
      <c r="EK13" s="21">
        <f>100*Monatswerte!EK13/Erwerbspersonen!$D14</f>
        <v>4.6455888054703749</v>
      </c>
      <c r="EL13" s="21">
        <f>100*Monatswerte!EL13/Erwerbspersonen!$D14</f>
        <v>4.6632124352331603</v>
      </c>
      <c r="EM13" s="21">
        <f>100*Monatswerte!EM13/Erwerbspersonen!$D14</f>
        <v>4.6491135314229322</v>
      </c>
      <c r="EN13" s="21">
        <f>100*Monatswerte!EN13/Erwerbspersonen!$D14</f>
        <v>4.8500229107186916</v>
      </c>
      <c r="EO13" s="21">
        <f>100*Monatswerte!EO13/Erwerbspersonen!$D14</f>
        <v>5.3188114624087977</v>
      </c>
      <c r="EP13" s="21">
        <f>100*Monatswerte!EP13/Erwerbspersonen!$D14</f>
        <v>5.5725917309929152</v>
      </c>
      <c r="EQ13" s="25">
        <f>100*Monatswerte!EQ13/Erwerbspersonen!$D14</f>
        <v>5.6078389905184869</v>
      </c>
      <c r="ER13" s="21">
        <f>100*Monatswerte!ER13/Erwerbspersonen!$D14</f>
        <v>5.6889076874273021</v>
      </c>
      <c r="ES13" s="21">
        <f>100*Monatswerte!ES13/Erwerbspersonen!$D14</f>
        <v>5.6712840576645167</v>
      </c>
      <c r="ET13" s="21">
        <f>100*Monatswerte!ET13/Erwerbspersonen!$D14</f>
        <v>5.6607098798068449</v>
      </c>
      <c r="EU13" s="21">
        <f>100*Monatswerte!EU13/Erwerbspersonen!$D14</f>
        <v>5.5725917309929152</v>
      </c>
      <c r="EV13" s="21">
        <f>100*Monatswerte!EV13/Erwerbspersonen!$D14</f>
        <v>5.4421768707482991</v>
      </c>
      <c r="EW13" s="21">
        <f>100*Monatswerte!EW13/Erwerbspersonen!$D14</f>
        <v>5.297663106693455</v>
      </c>
      <c r="EX13" s="21">
        <f>100*Monatswerte!EX13/Erwerbspersonen!$D14</f>
        <v>5.3857812555073847</v>
      </c>
      <c r="EY13" s="21">
        <f>100*Monatswerte!EY13/Erwerbspersonen!$D14</f>
        <v>5.4809488562264281</v>
      </c>
      <c r="EZ13" s="21">
        <f>100*Monatswerte!EZ13/Erwerbspersonen!$D14</f>
        <v>5.6642346057594022</v>
      </c>
      <c r="FA13" s="21">
        <f>100*Monatswerte!FA13/Erwerbspersonen!$D14</f>
        <v>5.9849846674421068</v>
      </c>
      <c r="FB13" s="27">
        <f>100*Monatswerte!FB13/Erwerbspersonen!$D14</f>
        <v>6.1682704169750799</v>
      </c>
      <c r="FC13" s="21">
        <f>100*Monatswerte!FC13/Erwerbspersonen!$E14</f>
        <v>5.9126473209864319</v>
      </c>
      <c r="FD13" s="21">
        <f>100*Monatswerte!FD13/Erwerbspersonen!$E14</f>
        <v>5.8796342147832688</v>
      </c>
      <c r="FE13" s="21">
        <f>100*Monatswerte!FE13/Erwerbspersonen!$E14</f>
        <v>5.7607870324518835</v>
      </c>
      <c r="FF13" s="21">
        <f>100*Monatswerte!FF13/Erwerbspersonen!$E14</f>
        <v>5.4900795615859499</v>
      </c>
      <c r="FG13" s="21">
        <f>100*Monatswerte!FG13/Erwerbspersonen!$E14</f>
        <v>5.4405599022812057</v>
      </c>
      <c r="FH13" s="21">
        <f>100*Monatswerte!FH13/Erwerbspersonen!$E14</f>
        <v>5.3184114093295038</v>
      </c>
      <c r="FI13" s="21">
        <f>100*Monatswerte!FI13/Erwerbspersonen!$E14</f>
        <v>5.2986035456076062</v>
      </c>
      <c r="FJ13" s="21">
        <f>100*Monatswerte!FJ13/Erwerbspersonen!$E14</f>
        <v>5.1401406358324255</v>
      </c>
      <c r="FK13" s="21">
        <f>100*Monatswerte!FK13/Erwerbspersonen!$E14</f>
        <v>5.1830576738965366</v>
      </c>
      <c r="FL13" s="21">
        <f>100*Monatswerte!FL13/Erwerbspersonen!$E14</f>
        <v>5.1467432570730578</v>
      </c>
      <c r="FM13" s="21">
        <f>100*Monatswerte!FM13/Erwerbspersonen!$E14</f>
        <v>5.2259747119606486</v>
      </c>
      <c r="FN13" s="21">
        <f>100*Monatswerte!FN13/Erwerbspersonen!$E14</f>
        <v>5.3019048562279227</v>
      </c>
      <c r="FO13" s="25">
        <f>100*Monatswerte!FO13/Erwerbspersonen!$E14</f>
        <v>5.1566471889340066</v>
      </c>
      <c r="FP13" s="21">
        <f>100*Monatswerte!FP13/Erwerbspersonen!$E14</f>
        <v>5.0939222871479979</v>
      </c>
      <c r="FQ13" s="21">
        <f>100*Monatswerte!FQ13/Erwerbspersonen!$E14</f>
        <v>4.9717737941962961</v>
      </c>
      <c r="FR13" s="21">
        <f>100*Monatswerte!FR13/Erwerbspersonen!$E14</f>
        <v>4.7736951569773201</v>
      </c>
      <c r="FS13" s="21">
        <f>100*Monatswerte!FS13/Erwerbspersonen!$E14</f>
        <v>4.6119309365818228</v>
      </c>
      <c r="FT13" s="21">
        <f>100*Monatswerte!FT13/Erwerbspersonen!$E14</f>
        <v>4.5393021029348652</v>
      </c>
      <c r="FU13" s="21">
        <f>100*Monatswerte!FU13/Erwerbspersonen!$E14</f>
        <v>4.5690138985177118</v>
      </c>
      <c r="FV13" s="21">
        <f>100*Monatswerte!FV13/Erwerbspersonen!$E14</f>
        <v>4.4105509887425312</v>
      </c>
      <c r="FW13" s="21">
        <f>100*Monatswerte!FW13/Erwerbspersonen!$E14</f>
        <v>4.5260968604535998</v>
      </c>
      <c r="FX13" s="21">
        <f>100*Monatswerte!FX13/Erwerbspersonen!$E14</f>
        <v>4.6548479746459348</v>
      </c>
      <c r="FY13" s="21">
        <f>100*Monatswerte!FY13/Erwerbspersonen!$E14</f>
        <v>4.8595292331055431</v>
      </c>
      <c r="FZ13" s="21">
        <f>100*Monatswerte!FZ13/Erwerbspersonen!$E14</f>
        <v>4.9486646198540818</v>
      </c>
      <c r="GA13" s="25">
        <f>100*Monatswerte!GA13/Erwerbspersonen!$E14</f>
        <v>4.8067082631804823</v>
      </c>
      <c r="GB13" s="21">
        <f>100*Monatswerte!GB13/Erwerbspersonen!$E14</f>
        <v>4.687861080849097</v>
      </c>
      <c r="GC13" s="21">
        <f>100*Monatswerte!GC13/Erwerbspersonen!$E14</f>
        <v>4.6383414215443528</v>
      </c>
      <c r="GD13" s="21">
        <f>100*Monatswerte!GD13/Erwerbspersonen!$E14</f>
        <v>4.5690138985177118</v>
      </c>
      <c r="GE13" s="21">
        <f>100*Monatswerte!GE13/Erwerbspersonen!$E14</f>
        <v>4.5591099666567629</v>
      </c>
      <c r="GF13" s="21">
        <f>100*Monatswerte!GF13/Erwerbspersonen!$E14</f>
        <v>4.3874418144003169</v>
      </c>
      <c r="GG13" s="21">
        <f>100*Monatswerte!GG13/Erwerbspersonen!$E14</f>
        <v>4.3544287081971547</v>
      </c>
      <c r="GH13" s="21">
        <f>100*Monatswerte!GH13/Erwerbspersonen!$E14</f>
        <v>4.2520880789673496</v>
      </c>
      <c r="GI13" s="21">
        <f>100*Monatswerte!GI13/Erwerbspersonen!$E14</f>
        <v>4.334620844475257</v>
      </c>
      <c r="GJ13" s="21">
        <f>100*Monatswerte!GJ13/Erwerbspersonen!$E14</f>
        <v>4.5293981710739164</v>
      </c>
      <c r="GK13" s="21">
        <f>100*Monatswerte!GK13/Erwerbspersonen!$E14</f>
        <v>4.7076689445709947</v>
      </c>
      <c r="GL13" s="21">
        <f>100*Monatswerte!GL13/Erwerbspersonen!$E14</f>
        <v>4.8595292331055431</v>
      </c>
      <c r="GM13" s="25">
        <f>100*Monatswerte!GM13/Erwerbspersonen!$F14</f>
        <v>4.6225053024020761</v>
      </c>
      <c r="GN13" s="21">
        <f>100*Monatswerte!GN13/Erwerbspersonen!$F14</f>
        <v>4.5455148743141001</v>
      </c>
      <c r="GO13" s="21">
        <f>100*Monatswerte!GO13/Erwerbspersonen!$F14</f>
        <v>4.9489447174950936</v>
      </c>
      <c r="GP13" s="21">
        <f>100*Monatswerte!GP13/Erwerbspersonen!$F14</f>
        <v>5.2907822182057069</v>
      </c>
      <c r="GQ13" s="21">
        <f>100*Monatswerte!GQ13/Erwerbspersonen!$F14</f>
        <v>5.309259920946821</v>
      </c>
      <c r="GR13" s="21">
        <f>100*Monatswerte!GR13/Erwerbspersonen!$F14</f>
        <v>5.423205754517026</v>
      </c>
      <c r="GS13" s="21">
        <f>100*Monatswerte!GS13/Erwerbspersonen!$F14</f>
        <v>5.5155942682225971</v>
      </c>
      <c r="GT13" s="21">
        <f>100*Monatswerte!GT13/Erwerbspersonen!$F14</f>
        <v>5.5648681421989012</v>
      </c>
      <c r="GU13" s="21">
        <f>100*Monatswerte!GU13/Erwerbspersonen!$F14</f>
        <v>5.5279127367166732</v>
      </c>
      <c r="GV13" s="21">
        <f>100*Monatswerte!GV13/Erwerbspersonen!$F14</f>
        <v>5.6541770387809533</v>
      </c>
      <c r="GW13" s="21">
        <f>100*Monatswerte!GW13/Erwerbspersonen!$F14</f>
        <v>5.9713776025034146</v>
      </c>
      <c r="GX13" s="27">
        <f>100*Monatswerte!GX13/Erwerbspersonen!$F14</f>
        <v>6.260861612114204</v>
      </c>
      <c r="GY13" s="21">
        <f>100*Monatswerte!GY13/Erwerbspersonen!$F14</f>
        <v>6.4240813196607132</v>
      </c>
      <c r="GZ13" s="21">
        <f>100*Monatswerte!GZ13/Erwerbspersonen!$F14</f>
        <v>6.4363997881547892</v>
      </c>
      <c r="HA13" s="21">
        <f>100*Monatswerte!HA13/Erwerbspersonen!$F14</f>
        <v>6.3748074456844082</v>
      </c>
      <c r="HB13" s="21">
        <f>100*Monatswerte!HB13/Erwerbspersonen!$F14</f>
        <v>6.270100463484761</v>
      </c>
      <c r="HC13" s="21">
        <f>100*Monatswerte!HC13/Erwerbspersonen!$F14</f>
        <v>6.202348886767342</v>
      </c>
      <c r="HD13" s="21">
        <f>100*Monatswerte!HD13/Erwerbspersonen!$F14</f>
        <v>6.0637661162089858</v>
      </c>
      <c r="HE13" s="21">
        <f>100*Monatswerte!HE13/Erwerbspersonen!$F14</f>
        <v>5.7712024894746774</v>
      </c>
      <c r="HF13" s="21">
        <f>100*Monatswerte!HF13/Erwerbspersonen!$F14</f>
        <v>5.6726547415220683</v>
      </c>
      <c r="HG13" s="21">
        <f>100*Monatswerte!HG13/Erwerbspersonen!$F14</f>
        <v>5.5710273764459393</v>
      </c>
      <c r="HH13" s="21">
        <f>100*Monatswerte!HH13/Erwerbspersonen!$F14</f>
        <v>5.4940369483579641</v>
      </c>
      <c r="HI13" s="21">
        <f>100*Monatswerte!HI13/Erwerbspersonen!$F14</f>
        <v>5.7034509127572584</v>
      </c>
      <c r="HJ13" s="21">
        <f>100*Monatswerte!HJ13/Erwerbspersonen!$F14</f>
        <v>5.7342470839924484</v>
      </c>
      <c r="HK13" s="60">
        <f>100*Monatswerte!HK13/Erwerbspersonen!$F14</f>
        <v>5.6695751243985484</v>
      </c>
      <c r="HL13" s="3">
        <f>100*Monatswerte!HL13/Erwerbspersonen!$F14</f>
        <v>5.5155942682225971</v>
      </c>
      <c r="HM13" s="3">
        <f>100*Monatswerte!HM13/Erwerbspersonen!$F14</f>
        <v>5.349294943552569</v>
      </c>
      <c r="HN13" s="3">
        <f>100*Monatswerte!HN13/Erwerbspersonen!$F14</f>
        <v>5.0413332312006647</v>
      </c>
      <c r="HO13" s="3">
        <f>100*Monatswerte!HO13/Erwerbspersonen!$F14</f>
        <v>4.9181485462599035</v>
      </c>
      <c r="HP13" s="3">
        <f>100*Monatswerte!HP13/Erwerbspersonen!$F14</f>
        <v>4.7703269243309894</v>
      </c>
      <c r="HQ13" s="3">
        <f>100*Monatswerte!HQ13/Erwerbspersonen!$F14</f>
        <v>4.6163460681550381</v>
      </c>
      <c r="HR13" s="3">
        <f>100*Monatswerte!HR13/Erwerbspersonen!$F14</f>
        <v>4.3391805270383248</v>
      </c>
      <c r="HS13" s="3">
        <f>100*Monatswerte!HS13/Erwerbspersonen!$F14</f>
        <v>4.1236073283919916</v>
      </c>
      <c r="HT13" s="3">
        <f>100*Monatswerte!HT13/Erwerbspersonen!$F14</f>
        <v>4.0958907742803206</v>
      </c>
      <c r="HU13" s="3">
        <f>100*Monatswerte!HU13/Erwerbspersonen!$F14</f>
        <v>4.1698015852447776</v>
      </c>
      <c r="HV13" s="64">
        <f>100*Monatswerte!HV13/Erwerbspersonen!$F14</f>
        <v>4.2529512475797917</v>
      </c>
      <c r="HW13" s="3">
        <f>100*[5]Monatswerte!HW13/[5]Erwerbspersonen!$F14</f>
        <v>4.2683493331973867</v>
      </c>
      <c r="HX13" s="3">
        <f>100*[5]Monatswerte!HX13/[5]Erwerbspersonen!$F14</f>
        <v>4.1698015852447776</v>
      </c>
      <c r="HY13" s="3">
        <f>100*[5]Monatswerte!HY13/[5]Erwerbspersonen!$F14</f>
        <v>4.1297665626390296</v>
      </c>
      <c r="HZ13" s="3">
        <f>100*[5]Monatswerte!HZ13/[5]Erwerbspersonen!$F14</f>
        <v>4.0404576660569775</v>
      </c>
      <c r="IA13" s="3">
        <f>100*[5]Monatswerte!IA13/[5]Erwerbspersonen!$F14</f>
        <v>4.0373780489334585</v>
      </c>
      <c r="IB13" s="3">
        <f>100*[5]Monatswerte!IB13/[5]Erwerbspersonen!$F14</f>
        <v>4.0004226434512304</v>
      </c>
      <c r="IC13" s="3">
        <f>100*[5]Monatswerte!IC13/[5]Erwerbspersonen!$F14</f>
        <v>4.0466169003040156</v>
      </c>
      <c r="ID13" s="3">
        <f>100*[5]Monatswerte!ID13/[5]Erwerbspersonen!$F14</f>
        <v>4.0096614948217875</v>
      </c>
      <c r="IE13" s="3">
        <f>100*[5]Monatswerte!IE13/[5]Erwerbspersonen!$F14</f>
        <v>3.9573080037219639</v>
      </c>
      <c r="IF13" s="3">
        <f>100*[5]Monatswerte!IF13/[5]Erwerbspersonen!$F14</f>
        <v>3.9388303009808494</v>
      </c>
      <c r="IG13" s="3">
        <f>100*[5]Monatswerte!IG13/[5]Erwerbspersonen!$F14</f>
        <v>4.2036773736034867</v>
      </c>
      <c r="IH13" s="3">
        <f>100*[5]Monatswerte!IH13/[5]Erwerbspersonen!$F14</f>
        <v>4.2406327790857148</v>
      </c>
      <c r="II13" s="60">
        <f>100*[6]Monatswerte!II13/[6]Erwerbspersonen!$G14</f>
        <v>4.027079640875149</v>
      </c>
      <c r="IJ13" s="3">
        <f>100*[6]Monatswerte!IJ13/[6]Erwerbspersonen!$G14</f>
        <v>4.0096463956765556</v>
      </c>
      <c r="IK13" s="3">
        <f>100*[6]Monatswerte!IK13/[6]Erwerbspersonen!$G14</f>
        <v>4.1113403260016854</v>
      </c>
      <c r="IL13" s="3">
        <f>100*[6]Monatswerte!IL13/[6]Erwerbspersonen!$G14</f>
        <v>4.2362785832582732</v>
      </c>
      <c r="IM13" s="3">
        <f>100*[6]Monatswerte!IM13/[6]Erwerbspersonen!$G14</f>
        <v>4.2333730423918414</v>
      </c>
      <c r="IN13" s="3">
        <f>100*[6]Monatswerte!IN13/[6]Erwerbspersonen!$G14</f>
        <v>4.2508062875904349</v>
      </c>
      <c r="IO13" s="3">
        <f>100*[6]Monatswerte!IO13/[6]Erwerbspersonen!$G14</f>
        <v>4.3902722491791843</v>
      </c>
      <c r="IP13" s="3">
        <f>100*[6]Monatswerte!IP13/[6]Erwerbspersonen!$G14</f>
        <v>4.3466891361827003</v>
      </c>
      <c r="IQ13" s="3">
        <f>100*[6]Monatswerte!IQ13/[6]Erwerbspersonen!$G14</f>
        <v>4.5123049655693404</v>
      </c>
      <c r="IR13" s="3">
        <f>100*[6]Monatswerte!IR13/[6]Erwerbspersonen!$G14</f>
        <v>4.6895429584217103</v>
      </c>
      <c r="IS13" s="3">
        <f>100*[6]Monatswerte!IS13/[6]Erwerbspersonen!$G14</f>
        <v>4.9655693407327774</v>
      </c>
      <c r="IT13" s="3">
        <f>100*[6]Monatswerte!IT13/[6]Erwerbspersonen!$G14</f>
        <v>5.2968009995060577</v>
      </c>
      <c r="IU13" s="60">
        <f>100*[7]Monatswerte!IU13/[7]Erwerbspersonen!$G14</f>
        <v>5.4420780428276725</v>
      </c>
      <c r="IV13" s="3">
        <f>100*[7]Monatswerte!IV13/[7]Erwerbspersonen!$G14</f>
        <v>5.381061684632594</v>
      </c>
      <c r="IW13" s="3">
        <f>100*[7]Monatswerte!IW13/[7]Erwerbspersonen!$G14</f>
        <v>5.2997065403724903</v>
      </c>
      <c r="IX13" s="3">
        <f>100*[7]Monatswerte!IX13/[7]Erwerbspersonen!$G14</f>
        <v>5.2503123456431418</v>
      </c>
      <c r="IY13" s="3">
        <f>100*[7]Monatswerte!IY13/[7]Erwerbspersonen!$G14</f>
        <v>5.1544294970508764</v>
      </c>
      <c r="IZ13" s="3">
        <f>100*[7]Monatswerte!IZ13/[7]Erwerbspersonen!$G14</f>
        <v>5.3723450620332978</v>
      </c>
      <c r="JA13" s="3">
        <f>100*[7]Monatswerte!JA13/[7]Erwerbspersonen!$G14</f>
        <v>5.4420780428276725</v>
      </c>
      <c r="JB13" s="3">
        <f>100*[7]Monatswerte!JB13/[7]Erwerbspersonen!$G14</f>
        <v>5.4072115524304847</v>
      </c>
      <c r="JC13" s="3">
        <f>100*[7]Monatswerte!JC13/[7]Erwerbspersonen!$G14</f>
        <v>5.4653223697591304</v>
      </c>
      <c r="JD13" s="3">
        <f>100*[7]Monatswerte!JD13/[7]Erwerbspersonen!$G14</f>
        <v>5.6425603626115004</v>
      </c>
      <c r="JE13" s="3">
        <f>100*[7]Monatswerte!JE13/[7]Erwerbspersonen!$G14</f>
        <v>5.8633814684603536</v>
      </c>
      <c r="JF13" s="3">
        <f>100*[7]Monatswerte!JF13/[7]Erwerbspersonen!$G14</f>
        <v>5.8866257953918124</v>
      </c>
      <c r="JG13" s="60">
        <f>100*[7]Monatswerte!JG13/[7]Erwerbspersonen!$G14</f>
        <v>6.0086585117819684</v>
      </c>
      <c r="JH13" s="3">
        <f>100*[7]Monatswerte!JH13/[7]Erwerbspersonen!$G14</f>
        <v>5.9389255309875937</v>
      </c>
      <c r="JI13" s="3">
        <f>100*[7]Monatswerte!JI13/[7]Erwerbspersonen!$G14</f>
        <v>5.8401371415288956</v>
      </c>
    </row>
    <row r="14" spans="1:269" s="1" customFormat="1" x14ac:dyDescent="0.2">
      <c r="A14" s="1" t="s">
        <v>39</v>
      </c>
      <c r="B14" s="1">
        <v>11</v>
      </c>
      <c r="C14" s="21">
        <f>100*Monatswerte!C14/Erwerbspersonen!$B15</f>
        <v>4.9416838780221113</v>
      </c>
      <c r="D14" s="21">
        <f>100*Monatswerte!D14/Erwerbspersonen!$B15</f>
        <v>4.9538330701008384</v>
      </c>
      <c r="E14" s="21">
        <f>100*Monatswerte!E14/Erwerbspersonen!$B15</f>
        <v>4.8141173611954802</v>
      </c>
      <c r="F14" s="21">
        <f>100*Monatswerte!F14/Erwerbspersonen!$B15</f>
        <v>4.8232292552545255</v>
      </c>
      <c r="G14" s="21">
        <f>100*Monatswerte!G14/Erwerbspersonen!$B15</f>
        <v>4.8110800631757984</v>
      </c>
      <c r="H14" s="21">
        <f>100*Monatswerte!H14/Erwerbspersonen!$B15</f>
        <v>4.6804762483294864</v>
      </c>
      <c r="I14" s="21">
        <f>100*Monatswerte!I14/Erwerbspersonen!$B15</f>
        <v>4.6045437978374437</v>
      </c>
      <c r="J14" s="21">
        <f>100*Monatswerte!J14/Erwerbspersonen!$B15</f>
        <v>4.6592151621917139</v>
      </c>
      <c r="K14" s="21">
        <f>100*Monatswerte!K14/Erwerbspersonen!$B15</f>
        <v>4.6045437978374437</v>
      </c>
      <c r="L14" s="21">
        <f>100*Monatswerte!L14/Erwerbspersonen!$B15</f>
        <v>4.5103875592273113</v>
      </c>
      <c r="M14" s="21">
        <f>100*Monatswerte!M14/Erwerbspersonen!$B15</f>
        <v>4.7260357186247113</v>
      </c>
      <c r="N14" s="27">
        <f>100*Monatswerte!N14/Erwerbspersonen!$B15</f>
        <v>4.874863321589114</v>
      </c>
      <c r="O14" s="21">
        <f>100*Monatswerte!O14/Erwerbspersonen!$B15</f>
        <v>4.8870125136678411</v>
      </c>
      <c r="P14" s="21">
        <f>100*Monatswerte!P14/Erwerbspersonen!$B15</f>
        <v>4.9356092819827477</v>
      </c>
      <c r="Q14" s="21">
        <f>100*Monatswerte!Q14/Erwerbspersonen!$B15</f>
        <v>4.859676831490706</v>
      </c>
      <c r="R14" s="21">
        <f>100*Monatswerte!R14/Erwerbspersonen!$B15</f>
        <v>4.7776697849593006</v>
      </c>
      <c r="S14" s="21">
        <f>100*Monatswerte!S14/Erwerbspersonen!$B15</f>
        <v>4.7958935730773904</v>
      </c>
      <c r="T14" s="21">
        <f>100*Monatswerte!T14/Erwerbspersonen!$B15</f>
        <v>4.8110800631757984</v>
      </c>
      <c r="U14" s="21">
        <f>100*Monatswerte!U14/Erwerbspersonen!$B15</f>
        <v>4.7078119305066215</v>
      </c>
      <c r="V14" s="21">
        <f>100*Monatswerte!V14/Erwerbspersonen!$B15</f>
        <v>4.6379540760539424</v>
      </c>
      <c r="W14" s="21">
        <f>100*Monatswerte!W14/Erwerbspersonen!$B15</f>
        <v>4.6865508443688491</v>
      </c>
      <c r="X14" s="21">
        <f>100*Monatswerte!X14/Erwerbspersonen!$B15</f>
        <v>4.6652897582310775</v>
      </c>
      <c r="Y14" s="21">
        <f>100*Monatswerte!Y14/Erwerbspersonen!$B15</f>
        <v>4.7928562750577086</v>
      </c>
      <c r="Z14" s="27">
        <f>100*Monatswerte!Z14/Erwerbspersonen!$B15</f>
        <v>4.8232292552545255</v>
      </c>
      <c r="AA14" s="21">
        <f>100*Monatswerte!AA14/Erwerbspersonen!$B15</f>
        <v>4.7594459968412099</v>
      </c>
      <c r="AB14" s="21">
        <f>100*Monatswerte!AB14/Erwerbspersonen!$B15</f>
        <v>4.7746324869396188</v>
      </c>
      <c r="AC14" s="21">
        <f>100*Monatswerte!AC14/Erwerbspersonen!$B15</f>
        <v>4.7108492285263033</v>
      </c>
      <c r="AD14" s="21">
        <f>100*Monatswerte!AD14/Erwerbspersonen!$B15</f>
        <v>4.5711335196209451</v>
      </c>
      <c r="AE14" s="21">
        <f>100*Monatswerte!AE14/Erwerbspersonen!$B15</f>
        <v>4.4040821285384526</v>
      </c>
      <c r="AF14" s="21">
        <f>100*Monatswerte!AF14/Erwerbspersonen!$B15</f>
        <v>4.3645972542825904</v>
      </c>
      <c r="AG14" s="21">
        <f>100*Monatswerte!AG14/Erwerbspersonen!$B15</f>
        <v>4.3068885919086384</v>
      </c>
      <c r="AH14" s="21">
        <f>100*Monatswerte!AH14/Erwerbspersonen!$B15</f>
        <v>4.255254525574049</v>
      </c>
      <c r="AI14" s="21">
        <f>100*Monatswerte!AI14/Erwerbspersonen!$B15</f>
        <v>4.139837200826145</v>
      </c>
      <c r="AJ14" s="21">
        <f>100*Monatswerte!AJ14/Erwerbspersonen!$B15</f>
        <v>4.0183452800388775</v>
      </c>
      <c r="AK14" s="21">
        <f>100*Monatswerte!AK14/Erwerbspersonen!$B15</f>
        <v>4.0456809622160126</v>
      </c>
      <c r="AL14" s="27">
        <f>100*Monatswerte!AL14/Erwerbspersonen!$B15</f>
        <v>4.1489490948851904</v>
      </c>
      <c r="AM14" s="21">
        <f>100*Monatswerte!AM14/Erwerbspersonen!$B15</f>
        <v>4.0426436641963308</v>
      </c>
      <c r="AN14" s="21">
        <f>100*Monatswerte!AN14/Erwerbspersonen!$B15</f>
        <v>4.0517555582553761</v>
      </c>
      <c r="AO14" s="21">
        <f>100*Monatswerte!AO14/Erwerbspersonen!$B15</f>
        <v>3.9059652533106548</v>
      </c>
      <c r="AP14" s="21">
        <f>100*Monatswerte!AP14/Erwerbspersonen!$B15</f>
        <v>3.7267646701494352</v>
      </c>
      <c r="AQ14" s="21">
        <f>100*Monatswerte!AQ14/Erwerbspersonen!$B15</f>
        <v>3.6963916899526184</v>
      </c>
      <c r="AR14" s="21">
        <f>100*Monatswerte!AR14/Erwerbspersonen!$B15</f>
        <v>3.6417203255983477</v>
      </c>
      <c r="AS14" s="21">
        <f>100*Monatswerte!AS14/Erwerbspersonen!$B15</f>
        <v>3.6022354513424859</v>
      </c>
      <c r="AT14" s="21">
        <f>100*Monatswerte!AT14/Erwerbspersonen!$B15</f>
        <v>3.5870489612440775</v>
      </c>
      <c r="AU14" s="21">
        <f>100*Monatswerte!AU14/Erwerbspersonen!$B15</f>
        <v>3.5111165107520348</v>
      </c>
      <c r="AV14" s="21">
        <f>100*Monatswerte!AV14/Erwerbspersonen!$B15</f>
        <v>3.492892722633945</v>
      </c>
      <c r="AW14" s="21">
        <f>100*Monatswerte!AW14/Erwerbspersonen!$B15</f>
        <v>3.5141538087717166</v>
      </c>
      <c r="AX14" s="27">
        <f>100*Monatswerte!AX14/Erwerbspersonen!$B15</f>
        <v>3.6234965374802575</v>
      </c>
      <c r="AY14" s="21">
        <f>100*Monatswerte!AY14/Erwerbspersonen!$C15</f>
        <v>2.9808392556691192</v>
      </c>
      <c r="AZ14" s="21">
        <f>100*Monatswerte!AZ14/Erwerbspersonen!$C15</f>
        <v>2.9582381155671631</v>
      </c>
      <c r="BA14" s="21">
        <f>100*Monatswerte!BA14/Erwerbspersonen!$C15</f>
        <v>2.8728560307375504</v>
      </c>
      <c r="BB14" s="21">
        <f>100*Monatswerte!BB14/Erwerbspersonen!$C15</f>
        <v>2.8502548906355942</v>
      </c>
      <c r="BC14" s="21">
        <f>100*Monatswerte!BC14/Erwerbspersonen!$C15</f>
        <v>2.7246930011802819</v>
      </c>
      <c r="BD14" s="21">
        <f>100*Monatswerte!BD14/Erwerbspersonen!$C15</f>
        <v>2.5966198739358628</v>
      </c>
      <c r="BE14" s="21">
        <f>100*Monatswerte!BE14/Erwerbspersonen!$C15</f>
        <v>2.5237939780517817</v>
      </c>
      <c r="BF14" s="21">
        <f>100*Monatswerte!BF14/Erwerbspersonen!$C15</f>
        <v>2.4635242711132319</v>
      </c>
      <c r="BG14" s="21">
        <f>100*Monatswerte!BG14/Erwerbspersonen!$C15</f>
        <v>2.536350166997313</v>
      </c>
      <c r="BH14" s="21">
        <f>100*Monatswerte!BH14/Erwerbspersonen!$C15</f>
        <v>2.5966198739358628</v>
      </c>
      <c r="BI14" s="21">
        <f>100*Monatswerte!BI14/Erwerbspersonen!$C15</f>
        <v>2.7498053790713444</v>
      </c>
      <c r="BJ14" s="27">
        <f>100*Monatswerte!BJ14/Erwerbspersonen!$C15</f>
        <v>2.9833504934582256</v>
      </c>
      <c r="BK14" s="21">
        <f>100*Monatswerte!BK14/Erwerbspersonen!$C15</f>
        <v>3.1666708520629818</v>
      </c>
      <c r="BL14" s="21">
        <f>100*Monatswerte!BL14/Erwerbspersonen!$C15</f>
        <v>3.3073001682529317</v>
      </c>
      <c r="BM14" s="21">
        <f>100*Monatswerte!BM14/Erwerbspersonen!$C15</f>
        <v>3.4780643379121567</v>
      </c>
      <c r="BN14" s="21">
        <f>100*Monatswerte!BN14/Erwerbspersonen!$C15</f>
        <v>3.6513397453604881</v>
      </c>
      <c r="BO14" s="21">
        <f>100*Monatswerte!BO14/Erwerbspersonen!$C15</f>
        <v>3.7844353481831194</v>
      </c>
      <c r="BP14" s="21">
        <f>100*Monatswerte!BP14/Erwerbspersonen!$C15</f>
        <v>4.012957986991788</v>
      </c>
      <c r="BQ14" s="21">
        <f>100*Monatswerte!BQ14/Erwerbspersonen!$C15</f>
        <v>4.0079355114135762</v>
      </c>
      <c r="BR14" s="21">
        <f>100*Monatswerte!BR14/Erwerbspersonen!$C15</f>
        <v>4.0581602671957011</v>
      </c>
      <c r="BS14" s="21">
        <f>100*Monatswerte!BS14/Erwerbspersonen!$C15</f>
        <v>4.0882951206649754</v>
      </c>
      <c r="BT14" s="21">
        <f>100*Monatswerte!BT14/Erwerbspersonen!$C15</f>
        <v>4.1611210165490569</v>
      </c>
      <c r="BU14" s="21">
        <f>100*Monatswerte!BU14/Erwerbspersonen!$C15</f>
        <v>4.3143065216845384</v>
      </c>
      <c r="BV14" s="27">
        <f>100*Monatswerte!BV14/Erwerbspersonen!$C15</f>
        <v>4.5428291604932074</v>
      </c>
      <c r="BW14" s="21">
        <f>100*Monatswerte!BW14/Erwerbspersonen!$C15</f>
        <v>4.4448908867180634</v>
      </c>
      <c r="BX14" s="21">
        <f>100*Monatswerte!BX14/Erwerbspersonen!$C15</f>
        <v>4.4122447954596824</v>
      </c>
      <c r="BY14" s="21">
        <f>100*Monatswerte!BY14/Erwerbspersonen!$C15</f>
        <v>4.3821099419904073</v>
      </c>
      <c r="BZ14" s="21">
        <f>100*Monatswerte!BZ14/Erwerbspersonen!$C15</f>
        <v>4.2088345345420759</v>
      </c>
      <c r="CA14" s="21">
        <f>100*Monatswerte!CA14/Erwerbspersonen!$C15</f>
        <v>4.1234524497124632</v>
      </c>
      <c r="CB14" s="21">
        <f>100*Monatswerte!CB14/Erwerbspersonen!$C15</f>
        <v>4.0004017980462567</v>
      </c>
      <c r="CC14" s="21">
        <f>100*Monatswerte!CC14/Erwerbspersonen!$C15</f>
        <v>3.9099972376384318</v>
      </c>
      <c r="CD14" s="21">
        <f>100*Monatswerte!CD14/Erwerbspersonen!$C15</f>
        <v>3.839682579543457</v>
      </c>
      <c r="CE14" s="21">
        <f>100*Monatswerte!CE14/Erwerbspersonen!$C15</f>
        <v>3.7417443057683131</v>
      </c>
      <c r="CF14" s="21">
        <f>100*Monatswerte!CF14/Erwerbspersonen!$C15</f>
        <v>3.6538509831495944</v>
      </c>
      <c r="CG14" s="21">
        <f>100*Monatswerte!CG14/Erwerbspersonen!$C15</f>
        <v>3.5960925140001505</v>
      </c>
      <c r="CH14" s="27">
        <f>100*Monatswerte!CH14/Erwerbspersonen!$C15</f>
        <v>3.6337610808367447</v>
      </c>
      <c r="CI14" s="21">
        <f>100*Monatswerte!CI14/Erwerbspersonen!$C15</f>
        <v>3.5534014715853446</v>
      </c>
      <c r="CJ14" s="21">
        <f>100*Monatswerte!CJ14/Erwerbspersonen!$C15</f>
        <v>3.4629969111775196</v>
      </c>
      <c r="CK14" s="21">
        <f>100*Monatswerte!CK14/Erwerbspersonen!$C15</f>
        <v>3.3449687350895254</v>
      </c>
      <c r="CL14" s="21">
        <f>100*Monatswerte!CL14/Erwerbspersonen!$C15</f>
        <v>3.0511539137640944</v>
      </c>
      <c r="CM14" s="21">
        <f>100*Monatswerte!CM14/Erwerbspersonen!$C15</f>
        <v>2.9331257376761006</v>
      </c>
      <c r="CN14" s="21">
        <f>100*Monatswerte!CN14/Erwerbspersonen!$C15</f>
        <v>2.8979684086286128</v>
      </c>
      <c r="CO14" s="21">
        <f>100*Monatswerte!CO14/Erwerbspersonen!$C15</f>
        <v>2.7749177569624068</v>
      </c>
      <c r="CP14" s="21">
        <f>100*Monatswerte!CP14/Erwerbspersonen!$C15</f>
        <v>2.8075638482207879</v>
      </c>
      <c r="CQ14" s="21">
        <f>100*Monatswerte!CQ14/Erwerbspersonen!$C15</f>
        <v>2.8301649883227444</v>
      </c>
      <c r="CR14" s="21">
        <f>100*Monatswerte!CR14/Erwerbspersonen!$C15</f>
        <v>2.877878506315763</v>
      </c>
      <c r="CS14" s="21">
        <f>100*Monatswerte!CS14/Erwerbspersonen!$C15</f>
        <v>3.008462871349288</v>
      </c>
      <c r="CT14" s="27">
        <f>100*Monatswerte!CT14/Erwerbspersonen!$C15</f>
        <v>3.1189573340699632</v>
      </c>
      <c r="CU14" s="21">
        <f>100*Monatswerte!CU14/Erwerbspersonen!$C15</f>
        <v>3.0838000050224754</v>
      </c>
      <c r="CV14" s="21">
        <f>100*Monatswerte!CV14/Erwerbspersonen!$C15</f>
        <v>3.066221340498732</v>
      </c>
      <c r="CW14" s="21">
        <f>100*Monatswerte!CW14/Erwerbspersonen!$C15</f>
        <v>3.015996584716607</v>
      </c>
      <c r="CX14" s="21">
        <f>100*Monatswerte!CX14/Erwerbspersonen!$C15</f>
        <v>2.9883729690364382</v>
      </c>
      <c r="CY14" s="21">
        <f>100*Monatswerte!CY14/Erwerbspersonen!$C15</f>
        <v>2.9507044021998441</v>
      </c>
      <c r="CZ14" s="21">
        <f>100*Monatswerte!CZ14/Erwerbspersonen!$C15</f>
        <v>2.9055021219959318</v>
      </c>
      <c r="DA14" s="21">
        <f>100*Monatswerte!DA14/Erwerbspersonen!$C15</f>
        <v>2.8954571708395069</v>
      </c>
      <c r="DB14" s="21">
        <f>100*Monatswerte!DB14/Erwerbspersonen!$C15</f>
        <v>2.8703447929484445</v>
      </c>
      <c r="DC14" s="21">
        <f>100*Monatswerte!DC14/Erwerbspersonen!$C15</f>
        <v>2.9180583109414631</v>
      </c>
      <c r="DD14" s="21">
        <f>100*Monatswerte!DD14/Erwerbspersonen!$C15</f>
        <v>3.0787775294442632</v>
      </c>
      <c r="DE14" s="21">
        <f>100*Monatswerte!DE14/Erwerbspersonen!$C15</f>
        <v>3.3098114060420381</v>
      </c>
      <c r="DF14" s="27">
        <f>100*Monatswerte!DF14/Erwerbspersonen!$C15</f>
        <v>3.4655081489666255</v>
      </c>
      <c r="DG14" s="21">
        <f>100*Monatswerte!DG14/Erwerbspersonen!$C15</f>
        <v>3.4956430024359006</v>
      </c>
      <c r="DH14" s="21">
        <f>100*Monatswerte!DH14/Erwerbspersonen!$C15</f>
        <v>3.5207553803269631</v>
      </c>
      <c r="DI14" s="21">
        <f>100*Monatswerte!DI14/Erwerbspersonen!$C15</f>
        <v>3.4931317646467943</v>
      </c>
      <c r="DJ14" s="21">
        <f>100*Monatswerte!DJ14/Erwerbspersonen!$C15</f>
        <v>3.3650586374023757</v>
      </c>
      <c r="DK14" s="21">
        <f>100*Monatswerte!DK14/Erwerbspersonen!$C15</f>
        <v>3.3223675949875693</v>
      </c>
      <c r="DL14" s="21">
        <f>100*Monatswerte!DL14/Erwerbspersonen!$C15</f>
        <v>3.2570754124708068</v>
      </c>
      <c r="DM14" s="21">
        <f>100*Monatswerte!DM14/Erwerbspersonen!$C15</f>
        <v>3.1792270410085131</v>
      </c>
      <c r="DN14" s="21">
        <f>100*Monatswerte!DN14/Erwerbspersonen!$C15</f>
        <v>3.1114236207026442</v>
      </c>
      <c r="DO14" s="21">
        <f>100*Monatswerte!DO14/Erwerbspersonen!$C15</f>
        <v>3.1139348584917506</v>
      </c>
      <c r="DP14" s="21">
        <f>100*Monatswerte!DP14/Erwerbspersonen!$C15</f>
        <v>3.1917832299540443</v>
      </c>
      <c r="DQ14" s="21">
        <f>100*Monatswerte!DQ14/Erwerbspersonen!$C15</f>
        <v>3.2595866502599131</v>
      </c>
      <c r="DR14" s="27">
        <f>100*Monatswerte!DR14/Erwerbspersonen!$C15</f>
        <v>3.2821877903618693</v>
      </c>
      <c r="DS14" s="21">
        <f>100*Monatswerte!DS14/Erwerbspersonen!$D15</f>
        <v>3.6786196043165469</v>
      </c>
      <c r="DT14" s="21">
        <f>100*Monatswerte!DT14/Erwerbspersonen!$D15</f>
        <v>3.6758093525179856</v>
      </c>
      <c r="DU14" s="21">
        <f>100*Monatswerte!DU14/Erwerbspersonen!$D15</f>
        <v>3.6308453237410072</v>
      </c>
      <c r="DV14" s="21">
        <f>100*Monatswerte!DV14/Erwerbspersonen!$D15</f>
        <v>3.5212455035971222</v>
      </c>
      <c r="DW14" s="21">
        <f>100*Monatswerte!DW14/Erwerbspersonen!$D15</f>
        <v>3.3919739208633093</v>
      </c>
      <c r="DX14" s="21">
        <f>100*Monatswerte!DX14/Erwerbspersonen!$D15</f>
        <v>3.3217176258992804</v>
      </c>
      <c r="DY14" s="21">
        <f>100*Monatswerte!DY14/Erwerbspersonen!$D15</f>
        <v>3.3048561151079139</v>
      </c>
      <c r="DZ14" s="21">
        <f>100*Monatswerte!DZ14/Erwerbspersonen!$D15</f>
        <v>3.184015287769784</v>
      </c>
      <c r="EA14" s="21">
        <f>100*Monatswerte!EA14/Erwerbspersonen!$D15</f>
        <v>3.1221897482014387</v>
      </c>
      <c r="EB14" s="21">
        <f>100*Monatswerte!EB14/Erwerbspersonen!$D15</f>
        <v>3.1727742805755397</v>
      </c>
      <c r="EC14" s="21">
        <f>100*Monatswerte!EC14/Erwerbspersonen!$D15</f>
        <v>3.3076663669064748</v>
      </c>
      <c r="ED14" s="21">
        <f>100*Monatswerte!ED14/Erwerbspersonen!$D15</f>
        <v>3.532486510791367</v>
      </c>
      <c r="EE14" s="25">
        <f>100*Monatswerte!EE14/Erwerbspersonen!$D15</f>
        <v>3.4256969424460433</v>
      </c>
      <c r="EF14" s="21">
        <f>100*Monatswerte!EF14/Erwerbspersonen!$D15</f>
        <v>3.4509892086330933</v>
      </c>
      <c r="EG14" s="21">
        <f>100*Monatswerte!EG14/Erwerbspersonen!$D15</f>
        <v>3.481901978417266</v>
      </c>
      <c r="EH14" s="21">
        <f>100*Monatswerte!EH14/Erwerbspersonen!$D15</f>
        <v>3.4959532374100721</v>
      </c>
      <c r="EI14" s="21">
        <f>100*Monatswerte!EI14/Erwerbspersonen!$D15</f>
        <v>3.4032149280575541</v>
      </c>
      <c r="EJ14" s="21">
        <f>100*Monatswerte!EJ14/Erwerbspersonen!$D15</f>
        <v>3.3807329136690649</v>
      </c>
      <c r="EK14" s="21">
        <f>100*Monatswerte!EK14/Erwerbspersonen!$D15</f>
        <v>3.4032149280575541</v>
      </c>
      <c r="EL14" s="21">
        <f>100*Monatswerte!EL14/Erwerbspersonen!$D15</f>
        <v>3.3835431654676258</v>
      </c>
      <c r="EM14" s="21">
        <f>100*Monatswerte!EM14/Erwerbspersonen!$D15</f>
        <v>3.5015737410071943</v>
      </c>
      <c r="EN14" s="21">
        <f>100*Monatswerte!EN14/Erwerbspersonen!$D15</f>
        <v>3.608363309352518</v>
      </c>
      <c r="EO14" s="21">
        <f>100*Monatswerte!EO14/Erwerbspersonen!$D15</f>
        <v>3.9287320143884892</v>
      </c>
      <c r="EP14" s="21">
        <f>100*Monatswerte!EP14/Erwerbspersonen!$D15</f>
        <v>4.1057778776978413</v>
      </c>
      <c r="EQ14" s="25">
        <f>100*Monatswerte!EQ14/Erwerbspersonen!$D15</f>
        <v>4.0355215827338133</v>
      </c>
      <c r="ER14" s="21">
        <f>100*Monatswerte!ER14/Erwerbspersonen!$D15</f>
        <v>4.0270908273381298</v>
      </c>
      <c r="ES14" s="21">
        <f>100*Monatswerte!ES14/Erwerbspersonen!$D15</f>
        <v>4.0017985611510793</v>
      </c>
      <c r="ET14" s="21">
        <f>100*Monatswerte!ET14/Erwerbspersonen!$D15</f>
        <v>3.90625</v>
      </c>
      <c r="EU14" s="21">
        <f>100*Monatswerte!EU14/Erwerbspersonen!$D15</f>
        <v>3.8416142086330933</v>
      </c>
      <c r="EV14" s="21">
        <f>100*Monatswerte!EV14/Erwerbspersonen!$D15</f>
        <v>3.8528552158273381</v>
      </c>
      <c r="EW14" s="21">
        <f>100*Monatswerte!EW14/Erwerbspersonen!$D15</f>
        <v>3.8247526978417268</v>
      </c>
      <c r="EX14" s="21">
        <f>100*Monatswerte!EX14/Erwerbspersonen!$D15</f>
        <v>3.7994604316546763</v>
      </c>
      <c r="EY14" s="21">
        <f>100*Monatswerte!EY14/Erwerbspersonen!$D15</f>
        <v>3.8444244604316546</v>
      </c>
      <c r="EZ14" s="21">
        <f>100*Monatswerte!EZ14/Erwerbspersonen!$D15</f>
        <v>3.8781474820143886</v>
      </c>
      <c r="FA14" s="21">
        <f>100*Monatswerte!FA14/Erwerbspersonen!$D15</f>
        <v>4.0214703237410072</v>
      </c>
      <c r="FB14" s="27">
        <f>100*Monatswerte!FB14/Erwerbspersonen!$D15</f>
        <v>4.0861061151079134</v>
      </c>
      <c r="FC14" s="21">
        <f>100*Monatswerte!FC14/Erwerbspersonen!$E15</f>
        <v>4.2075449661294089</v>
      </c>
      <c r="FD14" s="21">
        <f>100*Monatswerte!FD14/Erwerbspersonen!$E15</f>
        <v>4.1754263022658256</v>
      </c>
      <c r="FE14" s="21">
        <f>100*Monatswerte!FE14/Erwerbspersonen!$E15</f>
        <v>4.1433076384022423</v>
      </c>
      <c r="FF14" s="21">
        <f>100*Monatswerte!FF14/Erwerbspersonen!$E15</f>
        <v>4.0878299462742351</v>
      </c>
      <c r="FG14" s="21">
        <f>100*Monatswerte!FG14/Erwerbspersonen!$E15</f>
        <v>4.0031534688156976</v>
      </c>
      <c r="FH14" s="21">
        <f>100*Monatswerte!FH14/Erwerbspersonen!$E15</f>
        <v>3.9097173557580005</v>
      </c>
      <c r="FI14" s="21">
        <f>100*Monatswerte!FI14/Erwerbspersonen!$E15</f>
        <v>3.8192011212333568</v>
      </c>
      <c r="FJ14" s="21">
        <f>100*Monatswerte!FJ14/Erwerbspersonen!$E15</f>
        <v>3.766643307638402</v>
      </c>
      <c r="FK14" s="21">
        <f>100*Monatswerte!FK14/Erwerbspersonen!$E15</f>
        <v>3.7024059799112359</v>
      </c>
      <c r="FL14" s="21">
        <f>100*Monatswerte!FL14/Erwerbspersonen!$E15</f>
        <v>3.6644475589815464</v>
      </c>
      <c r="FM14" s="21">
        <f>100*Monatswerte!FM14/Erwerbspersonen!$E15</f>
        <v>3.8133613641672506</v>
      </c>
      <c r="FN14" s="21">
        <f>100*Monatswerte!FN14/Erwerbspersonen!$E15</f>
        <v>3.871758934828311</v>
      </c>
      <c r="FO14" s="25">
        <f>100*Monatswerte!FO14/Erwerbspersonen!$E15</f>
        <v>3.9535155337537957</v>
      </c>
      <c r="FP14" s="21">
        <f>100*Monatswerte!FP14/Erwerbspersonen!$E15</f>
        <v>3.7374445223078721</v>
      </c>
      <c r="FQ14" s="21">
        <f>100*Monatswerte!FQ14/Erwerbspersonen!$E15</f>
        <v>3.7374445223078721</v>
      </c>
      <c r="FR14" s="21">
        <f>100*Monatswerte!FR14/Erwerbspersonen!$E15</f>
        <v>3.6264891380518569</v>
      </c>
      <c r="FS14" s="21">
        <f>100*Monatswerte!FS14/Erwerbspersonen!$E15</f>
        <v>3.4950946040644708</v>
      </c>
      <c r="FT14" s="21">
        <f>100*Monatswerte!FT14/Erwerbspersonen!$E15</f>
        <v>3.4045783695398271</v>
      </c>
      <c r="FU14" s="21">
        <f>100*Monatswerte!FU14/Erwerbspersonen!$E15</f>
        <v>3.3695398271431909</v>
      </c>
      <c r="FV14" s="21">
        <f>100*Monatswerte!FV14/Erwerbspersonen!$E15</f>
        <v>3.3520205559448728</v>
      </c>
      <c r="FW14" s="21">
        <f>100*Monatswerte!FW14/Erwerbspersonen!$E15</f>
        <v>3.3782994627423499</v>
      </c>
      <c r="FX14" s="21">
        <f>100*Monatswerte!FX14/Erwerbspersonen!$E15</f>
        <v>3.3461807988787666</v>
      </c>
      <c r="FY14" s="21">
        <f>100*Monatswerte!FY14/Erwerbspersonen!$E15</f>
        <v>3.4220976407381452</v>
      </c>
      <c r="FZ14" s="21">
        <f>100*Monatswerte!FZ14/Erwerbspersonen!$E15</f>
        <v>3.5622518103246903</v>
      </c>
      <c r="GA14" s="25">
        <f>100*Monatswerte!GA14/Erwerbspersonen!$E15</f>
        <v>3.5301331464611074</v>
      </c>
      <c r="GB14" s="21">
        <f>100*Monatswerte!GB14/Erwerbspersonen!$E15</f>
        <v>3.4629759402008875</v>
      </c>
      <c r="GC14" s="21">
        <f>100*Monatswerte!GC14/Erwerbspersonen!$E15</f>
        <v>3.4600560616678346</v>
      </c>
      <c r="GD14" s="21">
        <f>100*Monatswerte!GD14/Erwerbspersonen!$E15</f>
        <v>3.3082223779490771</v>
      </c>
      <c r="GE14" s="21">
        <f>100*Monatswerte!GE14/Erwerbspersonen!$E15</f>
        <v>3.1855874795608501</v>
      </c>
      <c r="GF14" s="21">
        <f>100*Monatswerte!GF14/Erwerbspersonen!$E15</f>
        <v>3.1213501518336839</v>
      </c>
      <c r="GG14" s="21">
        <f>100*Monatswerte!GG14/Erwerbspersonen!$E15</f>
        <v>3.054192945573464</v>
      </c>
      <c r="GH14" s="21">
        <f>100*Monatswerte!GH14/Erwerbspersonen!$E15</f>
        <v>2.9928754963793507</v>
      </c>
      <c r="GI14" s="21">
        <f>100*Monatswerte!GI14/Erwerbspersonen!$E15</f>
        <v>3.0512730670404111</v>
      </c>
      <c r="GJ14" s="21">
        <f>100*Monatswerte!GJ14/Erwerbspersonen!$E15</f>
        <v>3.168068208362532</v>
      </c>
      <c r="GK14" s="21">
        <f>100*Monatswerte!GK14/Erwerbspersonen!$E15</f>
        <v>3.4191777622050923</v>
      </c>
      <c r="GL14" s="21">
        <f>100*Monatswerte!GL14/Erwerbspersonen!$E15</f>
        <v>3.6469282877832283</v>
      </c>
      <c r="GM14" s="25">
        <f>100*Monatswerte!GM14/Erwerbspersonen!$F15</f>
        <v>3.9830829600331934</v>
      </c>
      <c r="GN14" s="21">
        <f>100*Monatswerte!GN14/Erwerbspersonen!$F15</f>
        <v>3.890378781990687</v>
      </c>
      <c r="GO14" s="21">
        <f>100*Monatswerte!GO14/Erwerbspersonen!$F15</f>
        <v>4.283572364722696</v>
      </c>
      <c r="GP14" s="21">
        <f>100*Monatswerte!GP14/Erwerbspersonen!$F15</f>
        <v>4.5361113324936611</v>
      </c>
      <c r="GQ14" s="21">
        <f>100*Monatswerte!GQ14/Erwerbspersonen!$F15</f>
        <v>4.6703725558655664</v>
      </c>
      <c r="GR14" s="21">
        <f>100*Monatswerte!GR14/Erwerbspersonen!$F15</f>
        <v>4.763076733908072</v>
      </c>
      <c r="GS14" s="21">
        <f>100*Monatswerte!GS14/Erwerbspersonen!$F15</f>
        <v>4.9484850899930848</v>
      </c>
      <c r="GT14" s="21">
        <f>100*Monatswerte!GT14/Erwerbspersonen!$F15</f>
        <v>5.0188123974736065</v>
      </c>
      <c r="GU14" s="21">
        <f>100*Monatswerte!GU14/Erwerbspersonen!$F15</f>
        <v>5.1402868376672348</v>
      </c>
      <c r="GV14" s="21">
        <f>100*Monatswerte!GV14/Erwerbspersonen!$F15</f>
        <v>5.1978273619694804</v>
      </c>
      <c r="GW14" s="21">
        <f>100*Monatswerte!GW14/Erwerbspersonen!$F15</f>
        <v>5.3544654559033695</v>
      </c>
      <c r="GX14" s="27">
        <f>100*Monatswerte!GX14/Erwerbspersonen!$F15</f>
        <v>5.6229879026471803</v>
      </c>
      <c r="GY14" s="21">
        <f>100*Monatswerte!GY14/Erwerbspersonen!$F15</f>
        <v>5.5590539867557967</v>
      </c>
      <c r="GZ14" s="21">
        <f>100*Monatswerte!GZ14/Erwerbspersonen!$F15</f>
        <v>5.5590539867557967</v>
      </c>
      <c r="HA14" s="21">
        <f>100*Monatswerte!HA14/Erwerbspersonen!$F15</f>
        <v>5.5398738119883824</v>
      </c>
      <c r="HB14" s="21">
        <f>100*Monatswerte!HB14/Erwerbspersonen!$F15</f>
        <v>5.4983167666589825</v>
      </c>
      <c r="HC14" s="21">
        <f>100*Monatswerte!HC14/Erwerbspersonen!$F15</f>
        <v>5.3161051063685401</v>
      </c>
      <c r="HD14" s="21">
        <f>100*Monatswerte!HD14/Erwerbspersonen!$F15</f>
        <v>5.1626637082292195</v>
      </c>
      <c r="HE14" s="21">
        <f>100*Monatswerte!HE14/Erwerbspersonen!$F15</f>
        <v>4.8941412614854087</v>
      </c>
      <c r="HF14" s="21">
        <f>100*Monatswerte!HF14/Erwerbspersonen!$F15</f>
        <v>4.7854536044700566</v>
      </c>
      <c r="HG14" s="21">
        <f>100*Monatswerte!HG14/Erwerbspersonen!$F15</f>
        <v>4.7566833423189339</v>
      </c>
      <c r="HH14" s="21">
        <f>100*Monatswerte!HH14/Erwerbspersonen!$F15</f>
        <v>4.7375031675515187</v>
      </c>
      <c r="HI14" s="21">
        <f>100*Monatswerte!HI14/Erwerbspersonen!$F15</f>
        <v>4.8621743035397165</v>
      </c>
      <c r="HJ14" s="21">
        <f>100*Monatswerte!HJ14/Erwerbspersonen!$F15</f>
        <v>4.9069280446636849</v>
      </c>
      <c r="HK14" s="60">
        <f>100*Monatswerte!HK14/Erwerbspersonen!$F15</f>
        <v>4.6959461222221197</v>
      </c>
      <c r="HL14" s="3">
        <f>100*Monatswerte!HL14/Erwerbspersonen!$F15</f>
        <v>4.6671758600709969</v>
      </c>
      <c r="HM14" s="3">
        <f>100*Monatswerte!HM14/Erwerbspersonen!$F15</f>
        <v>4.5137344619316764</v>
      </c>
      <c r="HN14" s="3">
        <f>100*Monatswerte!HN14/Erwerbspersonen!$F15</f>
        <v>4.2452120151878656</v>
      </c>
      <c r="HO14" s="3">
        <f>100*Monatswerte!HO14/Erwerbspersonen!$F15</f>
        <v>4.085377225459407</v>
      </c>
      <c r="HP14" s="3">
        <f>100*Monatswerte!HP14/Erwerbspersonen!$F15</f>
        <v>3.9287391315255173</v>
      </c>
      <c r="HQ14" s="3">
        <f>100*Monatswerte!HQ14/Erwerbspersonen!$F15</f>
        <v>3.6666100763708447</v>
      </c>
      <c r="HR14" s="3">
        <f>100*Monatswerte!HR14/Erwerbspersonen!$F15</f>
        <v>3.6026761604794615</v>
      </c>
      <c r="HS14" s="3">
        <f>100*Monatswerte!HS14/Erwerbspersonen!$F15</f>
        <v>3.4428413707510024</v>
      </c>
      <c r="HT14" s="3">
        <f>100*Monatswerte!HT14/Erwerbspersonen!$F15</f>
        <v>3.4652182413129866</v>
      </c>
      <c r="HU14" s="3">
        <f>100*Monatswerte!HU14/Erwerbspersonen!$F15</f>
        <v>3.5195620698206627</v>
      </c>
      <c r="HV14" s="64">
        <f>100*Monatswerte!HV14/Erwerbspersonen!$F15</f>
        <v>3.557922419355493</v>
      </c>
      <c r="HW14" s="3">
        <f>100*[5]Monatswerte!HW14/[5]Erwerbspersonen!$F15</f>
        <v>3.6122662478631691</v>
      </c>
      <c r="HX14" s="3">
        <f>100*[5]Monatswerte!HX14/[5]Erwerbspersonen!$F15</f>
        <v>3.6857902511382599</v>
      </c>
      <c r="HY14" s="3">
        <f>100*[5]Monatswerte!HY14/[5]Erwerbspersonen!$F15</f>
        <v>3.5259554614098012</v>
      </c>
      <c r="HZ14" s="3">
        <f>100*[5]Monatswerte!HZ14/[5]Erwerbspersonen!$F15</f>
        <v>3.3853008464487573</v>
      </c>
      <c r="IA14" s="3">
        <f>100*[5]Monatswerte!IA14/[5]Erwerbspersonen!$F15</f>
        <v>3.2638264062551285</v>
      </c>
      <c r="IB14" s="3">
        <f>100*[5]Monatswerte!IB14/[5]Erwerbspersonen!$F15</f>
        <v>3.1551387492397769</v>
      </c>
      <c r="IC14" s="3">
        <f>100*[5]Monatswerte!IC14/[5]Erwerbspersonen!$F15</f>
        <v>3.1423519660614998</v>
      </c>
      <c r="ID14" s="3">
        <f>100*[5]Monatswerte!ID14/[5]Erwerbspersonen!$F15</f>
        <v>3.1998924903637453</v>
      </c>
      <c r="IE14" s="3">
        <f>100*[5]Monatswerte!IE14/[5]Erwerbspersonen!$F15</f>
        <v>3.1998924903637453</v>
      </c>
      <c r="IF14" s="3">
        <f>100*[5]Monatswerte!IF14/[5]Erwerbspersonen!$F15</f>
        <v>3.3469404969139274</v>
      </c>
      <c r="IG14" s="3">
        <f>100*[5]Monatswerte!IG14/[5]Erwerbspersonen!$F15</f>
        <v>3.5195620698206627</v>
      </c>
      <c r="IH14" s="3">
        <f>100*[5]Monatswerte!IH14/[5]Erwerbspersonen!$F15</f>
        <v>3.6346431184251533</v>
      </c>
      <c r="II14" s="60">
        <f>100*[6]Monatswerte!II14/[6]Erwerbspersonen!$G15</f>
        <v>3.7103929024081115</v>
      </c>
      <c r="IJ14" s="3">
        <f>100*[6]Monatswerte!IJ14/[6]Erwerbspersonen!$G15</f>
        <v>3.7420785804816221</v>
      </c>
      <c r="IK14" s="3">
        <f>100*[6]Monatswerte!IK14/[6]Erwerbspersonen!$G15</f>
        <v>3.7325728770595692</v>
      </c>
      <c r="IL14" s="3">
        <f>100*[6]Monatswerte!IL14/[6]Erwerbspersonen!$G15</f>
        <v>3.7642585551330798</v>
      </c>
      <c r="IM14" s="3">
        <f>100*[6]Monatswerte!IM14/[6]Erwerbspersonen!$G15</f>
        <v>3.8403041825095059</v>
      </c>
      <c r="IN14" s="3">
        <f>100*[6]Monatswerte!IN14/[6]Erwerbspersonen!$G15</f>
        <v>3.8434727503168569</v>
      </c>
      <c r="IO14" s="3">
        <f>100*[6]Monatswerte!IO14/[6]Erwerbspersonen!$G15</f>
        <v>3.8751584283903675</v>
      </c>
      <c r="IP14" s="3">
        <f>100*[6]Monatswerte!IP14/[6]Erwerbspersonen!$G15</f>
        <v>3.7832699619771861</v>
      </c>
      <c r="IQ14" s="3">
        <f>100*[6]Monatswerte!IQ14/[6]Erwerbspersonen!$G15</f>
        <v>3.9258555133079849</v>
      </c>
      <c r="IR14" s="3">
        <f>100*[6]Monatswerte!IR14/[6]Erwerbspersonen!$G15</f>
        <v>4.1476552598225602</v>
      </c>
      <c r="IS14" s="3">
        <f>100*[6]Monatswerte!IS14/[6]Erwerbspersonen!$G15</f>
        <v>4.4676806083650193</v>
      </c>
      <c r="IT14" s="3">
        <f>100*[6]Monatswerte!IT14/[6]Erwerbspersonen!$G15</f>
        <v>4.6736375158428389</v>
      </c>
      <c r="IU14" s="60">
        <f>100*[7]Monatswerte!IU14/[7]Erwerbspersonen!$G15</f>
        <v>4.8700887198986056</v>
      </c>
      <c r="IV14" s="3">
        <f>100*[7]Monatswerte!IV14/[7]Erwerbspersonen!$G15</f>
        <v>4.9936628643852981</v>
      </c>
      <c r="IW14" s="3">
        <f>100*[7]Monatswerte!IW14/[7]Erwerbspersonen!$G15</f>
        <v>5.0506970849176174</v>
      </c>
      <c r="IX14" s="3">
        <f>100*[7]Monatswerte!IX14/[7]Erwerbspersonen!$G15</f>
        <v>5.0158428390367558</v>
      </c>
      <c r="IY14" s="3">
        <f>100*[7]Monatswerte!IY14/[7]Erwerbspersonen!$G15</f>
        <v>4.9334600760456278</v>
      </c>
      <c r="IZ14" s="3">
        <f>100*[7]Monatswerte!IZ14/[7]Erwerbspersonen!$G15</f>
        <v>4.9746514575411913</v>
      </c>
      <c r="JA14" s="3">
        <f>100*[7]Monatswerte!JA14/[7]Erwerbspersonen!$G15</f>
        <v>4.9461343472750317</v>
      </c>
      <c r="JB14" s="3">
        <f>100*[7]Monatswerte!JB14/[7]Erwerbspersonen!$G15</f>
        <v>4.9334600760456278</v>
      </c>
      <c r="JC14" s="3">
        <f>100*[7]Monatswerte!JC14/[7]Erwerbspersonen!$G15</f>
        <v>5.0950570342205319</v>
      </c>
      <c r="JD14" s="3">
        <f>100*[7]Monatswerte!JD14/[7]Erwerbspersonen!$G15</f>
        <v>5.3263624841571611</v>
      </c>
      <c r="JE14" s="3">
        <f>100*[7]Monatswerte!JE14/[7]Erwerbspersonen!$G15</f>
        <v>5.4562737642585555</v>
      </c>
      <c r="JF14" s="3">
        <f>100*[7]Monatswerte!JF14/[7]Erwerbspersonen!$G15</f>
        <v>5.5925221799746518</v>
      </c>
      <c r="JG14" s="60">
        <f>100*[7]Monatswerte!JG14/[7]Erwerbspersonen!$G15</f>
        <v>5.586185044359949</v>
      </c>
      <c r="JH14" s="3">
        <f>100*[7]Monatswerte!JH14/[7]Erwerbspersonen!$G15</f>
        <v>5.5418250950570345</v>
      </c>
      <c r="JI14" s="3">
        <f>100*[7]Monatswerte!JI14/[7]Erwerbspersonen!$G15</f>
        <v>5.5418250950570345</v>
      </c>
    </row>
    <row r="15" spans="1:269" s="1" customFormat="1" x14ac:dyDescent="0.2">
      <c r="A15" s="1" t="s">
        <v>40</v>
      </c>
      <c r="B15" s="1">
        <v>12</v>
      </c>
      <c r="C15" s="21">
        <f>100*Monatswerte!C15/Erwerbspersonen!$B16</f>
        <v>4.3478260869565215</v>
      </c>
      <c r="D15" s="21">
        <f>100*Monatswerte!D15/Erwerbspersonen!$B16</f>
        <v>4.4070607747897173</v>
      </c>
      <c r="E15" s="21">
        <f>100*Monatswerte!E15/Erwerbspersonen!$B16</f>
        <v>4.3833668996564388</v>
      </c>
      <c r="F15" s="21">
        <f>100*Monatswerte!F15/Erwerbspersonen!$B16</f>
        <v>4.3596730245231612</v>
      </c>
      <c r="G15" s="21">
        <f>100*Monatswerte!G15/Erwerbspersonen!$B16</f>
        <v>4.4228566915452356</v>
      </c>
      <c r="H15" s="21">
        <f>100*Monatswerte!H15/Erwerbspersonen!$B16</f>
        <v>4.4781424001895509</v>
      </c>
      <c r="I15" s="21">
        <f>100*Monatswerte!I15/Erwerbspersonen!$B16</f>
        <v>4.3952138372230776</v>
      </c>
      <c r="J15" s="21">
        <f>100*Monatswerte!J15/Erwerbspersonen!$B16</f>
        <v>4.3201832326343643</v>
      </c>
      <c r="K15" s="21">
        <f>100*Monatswerte!K15/Erwerbspersonen!$B16</f>
        <v>4.2214587529123717</v>
      </c>
      <c r="L15" s="21">
        <f>100*Monatswerte!L15/Erwerbspersonen!$B16</f>
        <v>4.2017138569679737</v>
      </c>
      <c r="M15" s="21">
        <f>100*Monatswerte!M15/Erwerbspersonen!$B16</f>
        <v>4.391264858034198</v>
      </c>
      <c r="N15" s="27">
        <f>100*Monatswerte!N15/Erwerbspersonen!$B16</f>
        <v>4.572917900722663</v>
      </c>
      <c r="O15" s="21">
        <f>100*Monatswerte!O15/Erwerbspersonen!$B16</f>
        <v>4.5966117758559415</v>
      </c>
      <c r="P15" s="21">
        <f>100*Monatswerte!P15/Erwerbspersonen!$B16</f>
        <v>4.6834893180112944</v>
      </c>
      <c r="Q15" s="21">
        <f>100*Monatswerte!Q15/Erwerbspersonen!$B16</f>
        <v>4.6834893180112944</v>
      </c>
      <c r="R15" s="21">
        <f>100*Monatswerte!R15/Erwerbspersonen!$B16</f>
        <v>4.6203056509892191</v>
      </c>
      <c r="S15" s="21">
        <f>100*Monatswerte!S15/Erwerbspersonen!$B16</f>
        <v>4.6045097342337007</v>
      </c>
      <c r="T15" s="21">
        <f>100*Monatswerte!T15/Erwerbspersonen!$B16</f>
        <v>4.5492240255893854</v>
      </c>
      <c r="U15" s="21">
        <f>100*Monatswerte!U15/Erwerbspersonen!$B16</f>
        <v>4.525530150456107</v>
      </c>
      <c r="V15" s="21">
        <f>100*Monatswerte!V15/Erwerbspersonen!$B16</f>
        <v>4.4702444418117917</v>
      </c>
      <c r="W15" s="21">
        <f>100*Monatswerte!W15/Erwerbspersonen!$B16</f>
        <v>4.4741934210006713</v>
      </c>
      <c r="X15" s="21">
        <f>100*Monatswerte!X15/Erwerbspersonen!$B16</f>
        <v>4.525530150456107</v>
      </c>
      <c r="Y15" s="21">
        <f>100*Monatswerte!Y15/Erwerbspersonen!$B16</f>
        <v>4.5492240255893854</v>
      </c>
      <c r="Z15" s="27">
        <f>100*Monatswerte!Z15/Erwerbspersonen!$B16</f>
        <v>4.5492240255893854</v>
      </c>
      <c r="AA15" s="21">
        <f>100*Monatswerte!AA15/Erwerbspersonen!$B16</f>
        <v>4.572917900722663</v>
      </c>
      <c r="AB15" s="21">
        <f>100*Monatswerte!AB15/Erwerbspersonen!$B16</f>
        <v>4.5176321920783478</v>
      </c>
      <c r="AC15" s="21">
        <f>100*Monatswerte!AC15/Erwerbspersonen!$B16</f>
        <v>4.5136832128894682</v>
      </c>
      <c r="AD15" s="21">
        <f>100*Monatswerte!AD15/Erwerbspersonen!$B16</f>
        <v>4.3991628164119572</v>
      </c>
      <c r="AE15" s="21">
        <f>100*Monatswerte!AE15/Erwerbspersonen!$B16</f>
        <v>4.2767444615566879</v>
      </c>
      <c r="AF15" s="21">
        <f>100*Monatswerte!AF15/Erwerbspersonen!$B16</f>
        <v>4.2530505864234094</v>
      </c>
      <c r="AG15" s="21">
        <f>100*Monatswerte!AG15/Erwerbspersonen!$B16</f>
        <v>4.1385301899458993</v>
      </c>
      <c r="AH15" s="21">
        <f>100*Monatswerte!AH15/Erwerbspersonen!$B16</f>
        <v>3.8936934802353593</v>
      </c>
      <c r="AI15" s="21">
        <f>100*Monatswerte!AI15/Erwerbspersonen!$B16</f>
        <v>3.9134383761797573</v>
      </c>
      <c r="AJ15" s="21">
        <f>100*Monatswerte!AJ15/Erwerbspersonen!$B16</f>
        <v>3.8976424594242389</v>
      </c>
      <c r="AK15" s="21">
        <f>100*Monatswerte!AK15/Erwerbspersonen!$B16</f>
        <v>3.8502547091576829</v>
      </c>
      <c r="AL15" s="27">
        <f>100*Monatswerte!AL15/Erwerbspersonen!$B16</f>
        <v>3.945030209690795</v>
      </c>
      <c r="AM15" s="21">
        <f>100*Monatswerte!AM15/Erwerbspersonen!$B16</f>
        <v>3.8936934802353593</v>
      </c>
      <c r="AN15" s="21">
        <f>100*Monatswerte!AN15/Erwerbspersonen!$B16</f>
        <v>3.834458792402164</v>
      </c>
      <c r="AO15" s="21">
        <f>100*Monatswerte!AO15/Erwerbspersonen!$B16</f>
        <v>3.6922955416024958</v>
      </c>
      <c r="AP15" s="21">
        <f>100*Monatswerte!AP15/Erwerbspersonen!$B16</f>
        <v>3.6172649370137822</v>
      </c>
      <c r="AQ15" s="21">
        <f>100*Monatswerte!AQ15/Erwerbspersonen!$B16</f>
        <v>3.5224894364806696</v>
      </c>
      <c r="AR15" s="21">
        <f>100*Monatswerte!AR15/Erwerbspersonen!$B16</f>
        <v>3.5382853532361884</v>
      </c>
      <c r="AS15" s="21">
        <f>100*Monatswerte!AS15/Erwerbspersonen!$B16</f>
        <v>3.5066935197251512</v>
      </c>
      <c r="AT15" s="21">
        <f>100*Monatswerte!AT15/Erwerbspersonen!$B16</f>
        <v>3.4040200608142794</v>
      </c>
      <c r="AU15" s="21">
        <f>100*Monatswerte!AU15/Erwerbspersonen!$B16</f>
        <v>3.3329384354144453</v>
      </c>
      <c r="AV15" s="21">
        <f>100*Monatswerte!AV15/Erwerbspersonen!$B16</f>
        <v>3.2894996643367689</v>
      </c>
      <c r="AW15" s="21">
        <f>100*Monatswerte!AW15/Erwerbspersonen!$B16</f>
        <v>3.4237649567586779</v>
      </c>
      <c r="AX15" s="27">
        <f>100*Monatswerte!AX15/Erwerbspersonen!$B16</f>
        <v>3.5619792283694665</v>
      </c>
      <c r="AY15" s="21">
        <f>100*Monatswerte!AY15/Erwerbspersonen!$C16</f>
        <v>2.7819929185634802</v>
      </c>
      <c r="AZ15" s="21">
        <f>100*Monatswerte!AZ15/Erwerbspersonen!$C16</f>
        <v>2.6745068285280729</v>
      </c>
      <c r="BA15" s="21">
        <f>100*Monatswerte!BA15/Erwerbspersonen!$C16</f>
        <v>2.7630247850278198</v>
      </c>
      <c r="BB15" s="21">
        <f>100*Monatswerte!BB15/Erwerbspersonen!$C16</f>
        <v>2.7187658067779465</v>
      </c>
      <c r="BC15" s="21">
        <f>100*Monatswerte!BC15/Erwerbspersonen!$C16</f>
        <v>2.5954729387961559</v>
      </c>
      <c r="BD15" s="21">
        <f>100*Monatswerte!BD15/Erwerbspersonen!$C16</f>
        <v>2.5132776934749619</v>
      </c>
      <c r="BE15" s="21">
        <f>100*Monatswerte!BE15/Erwerbspersonen!$C16</f>
        <v>2.4310824481537683</v>
      </c>
      <c r="BF15" s="21">
        <f>100*Monatswerte!BF15/Erwerbspersonen!$C16</f>
        <v>2.3172736469398076</v>
      </c>
      <c r="BG15" s="21">
        <f>100*Monatswerte!BG15/Erwerbspersonen!$C16</f>
        <v>2.3488872028325747</v>
      </c>
      <c r="BH15" s="21">
        <f>100*Monatswerte!BH15/Erwerbspersonen!$C16</f>
        <v>2.4848254931714719</v>
      </c>
      <c r="BI15" s="21">
        <f>100*Monatswerte!BI15/Erwerbspersonen!$C16</f>
        <v>2.5543753161355589</v>
      </c>
      <c r="BJ15" s="27">
        <f>100*Monatswerte!BJ15/Erwerbspersonen!$C16</f>
        <v>2.7472180070814365</v>
      </c>
      <c r="BK15" s="21">
        <f>100*Monatswerte!BK15/Erwerbspersonen!$C16</f>
        <v>2.9527061203844207</v>
      </c>
      <c r="BL15" s="21">
        <f>100*Monatswerte!BL15/Erwerbspersonen!$C16</f>
        <v>3.0854830551340413</v>
      </c>
      <c r="BM15" s="21">
        <f>100*Monatswerte!BM15/Erwerbspersonen!$C16</f>
        <v>3.3700050581689429</v>
      </c>
      <c r="BN15" s="21">
        <f>100*Monatswerte!BN15/Erwerbspersonen!$C16</f>
        <v>3.4522003034901365</v>
      </c>
      <c r="BO15" s="21">
        <f>100*Monatswerte!BO15/Erwerbspersonen!$C16</f>
        <v>3.6292362164896308</v>
      </c>
      <c r="BP15" s="21">
        <f>100*Monatswerte!BP15/Erwerbspersonen!$C16</f>
        <v>3.8631765300961054</v>
      </c>
      <c r="BQ15" s="21">
        <f>100*Monatswerte!BQ15/Erwerbspersonen!$C16</f>
        <v>3.9074355083459786</v>
      </c>
      <c r="BR15" s="21">
        <f>100*Monatswerte!BR15/Erwerbspersonen!$C16</f>
        <v>3.8505311077389983</v>
      </c>
      <c r="BS15" s="21">
        <f>100*Monatswerte!BS15/Erwerbspersonen!$C16</f>
        <v>3.9896307536671727</v>
      </c>
      <c r="BT15" s="21">
        <f>100*Monatswerte!BT15/Erwerbspersonen!$C16</f>
        <v>4.0718259989883663</v>
      </c>
      <c r="BU15" s="21">
        <f>100*Monatswerte!BU15/Erwerbspersonen!$C16</f>
        <v>4.2646686899342434</v>
      </c>
      <c r="BV15" s="27">
        <f>100*Monatswerte!BV15/Erwerbspersonen!$C16</f>
        <v>4.517577137076378</v>
      </c>
      <c r="BW15" s="21">
        <f>100*Monatswerte!BW15/Erwerbspersonen!$C16</f>
        <v>4.5523520485584221</v>
      </c>
      <c r="BX15" s="21">
        <f>100*Monatswerte!BX15/Erwerbspersonen!$C16</f>
        <v>4.5744815376833587</v>
      </c>
      <c r="BY15" s="21">
        <f>100*Monatswerte!BY15/Erwerbspersonen!$C16</f>
        <v>4.7040971168437027</v>
      </c>
      <c r="BZ15" s="21">
        <f>100*Monatswerte!BZ15/Erwerbspersonen!$C16</f>
        <v>4.5713201820940821</v>
      </c>
      <c r="CA15" s="21">
        <f>100*Monatswerte!CA15/Erwerbspersonen!$C16</f>
        <v>4.4448659585230148</v>
      </c>
      <c r="CB15" s="21">
        <f>100*Monatswerte!CB15/Erwerbspersonen!$C16</f>
        <v>4.3626707132018208</v>
      </c>
      <c r="CC15" s="21">
        <f>100*Monatswerte!CC15/Erwerbspersonen!$C16</f>
        <v>4.1887961557916036</v>
      </c>
      <c r="CD15" s="21">
        <f>100*Monatswerte!CD15/Erwerbspersonen!$C16</f>
        <v>4.1508598887202837</v>
      </c>
      <c r="CE15" s="21">
        <f>100*Monatswerte!CE15/Erwerbspersonen!$C16</f>
        <v>4.065503287809813</v>
      </c>
      <c r="CF15" s="21">
        <f>100*Monatswerte!CF15/Erwerbspersonen!$C16</f>
        <v>3.9896307536671727</v>
      </c>
      <c r="CG15" s="21">
        <f>100*Monatswerte!CG15/Erwerbspersonen!$C16</f>
        <v>3.935887708649469</v>
      </c>
      <c r="CH15" s="27">
        <f>100*Monatswerte!CH15/Erwerbspersonen!$C16</f>
        <v>4.0117602427921089</v>
      </c>
      <c r="CI15" s="21">
        <f>100*Monatswerte!CI15/Erwerbspersonen!$C16</f>
        <v>3.913758219524532</v>
      </c>
      <c r="CJ15" s="21">
        <f>100*Monatswerte!CJ15/Erwerbspersonen!$C16</f>
        <v>3.8031107738998484</v>
      </c>
      <c r="CK15" s="21">
        <f>100*Monatswerte!CK15/Erwerbspersonen!$C16</f>
        <v>3.7967880627212951</v>
      </c>
      <c r="CL15" s="21">
        <f>100*Monatswerte!CL15/Erwerbspersonen!$C16</f>
        <v>3.6292362164896308</v>
      </c>
      <c r="CM15" s="21">
        <f>100*Monatswerte!CM15/Erwerbspersonen!$C16</f>
        <v>3.3668437025796663</v>
      </c>
      <c r="CN15" s="21">
        <f>100*Monatswerte!CN15/Erwerbspersonen!$C16</f>
        <v>3.2751643904906422</v>
      </c>
      <c r="CO15" s="21">
        <f>100*Monatswerte!CO15/Erwerbspersonen!$C16</f>
        <v>3.1044511886697017</v>
      </c>
      <c r="CP15" s="21">
        <f>100*Monatswerte!CP15/Erwerbspersonen!$C16</f>
        <v>3.189807789580172</v>
      </c>
      <c r="CQ15" s="21">
        <f>100*Monatswerte!CQ15/Erwerbspersonen!$C16</f>
        <v>3.1581942336874054</v>
      </c>
      <c r="CR15" s="21">
        <f>100*Monatswerte!CR15/Erwerbspersonen!$C16</f>
        <v>3.1929691451694486</v>
      </c>
      <c r="CS15" s="21">
        <f>100*Monatswerte!CS15/Erwerbspersonen!$C16</f>
        <v>3.351036924633283</v>
      </c>
      <c r="CT15" s="27">
        <f>100*Monatswerte!CT15/Erwerbspersonen!$C16</f>
        <v>3.4300708143651999</v>
      </c>
      <c r="CU15" s="21">
        <f>100*Monatswerte!CU15/Erwerbspersonen!$C16</f>
        <v>3.4743297926150731</v>
      </c>
      <c r="CV15" s="21">
        <f>100*Monatswerte!CV15/Erwerbspersonen!$C16</f>
        <v>3.4553616590794132</v>
      </c>
      <c r="CW15" s="21">
        <f>100*Monatswerte!CW15/Erwerbspersonen!$C16</f>
        <v>3.3731664137582196</v>
      </c>
      <c r="CX15" s="21">
        <f>100*Monatswerte!CX15/Erwerbspersonen!$C16</f>
        <v>3.3573596358118363</v>
      </c>
      <c r="CY15" s="21">
        <f>100*Monatswerte!CY15/Erwerbspersonen!$C16</f>
        <v>3.3225847243297926</v>
      </c>
      <c r="CZ15" s="21">
        <f>100*Monatswerte!CZ15/Erwerbspersonen!$C16</f>
        <v>3.3289074355083459</v>
      </c>
      <c r="DA15" s="21">
        <f>100*Monatswerte!DA15/Erwerbspersonen!$C16</f>
        <v>3.351036924633283</v>
      </c>
      <c r="DB15" s="21">
        <f>100*Monatswerte!DB15/Erwerbspersonen!$C16</f>
        <v>3.351036924633283</v>
      </c>
      <c r="DC15" s="21">
        <f>100*Monatswerte!DC15/Erwerbspersonen!$C16</f>
        <v>3.3921345472938795</v>
      </c>
      <c r="DD15" s="21">
        <f>100*Monatswerte!DD15/Erwerbspersonen!$C16</f>
        <v>3.4964592817400102</v>
      </c>
      <c r="DE15" s="21">
        <f>100*Monatswerte!DE15/Erwerbspersonen!$C16</f>
        <v>3.7493677288821448</v>
      </c>
      <c r="DF15" s="27">
        <f>100*Monatswerte!DF15/Erwerbspersonen!$C16</f>
        <v>3.9485331310065757</v>
      </c>
      <c r="DG15" s="21">
        <f>100*Monatswerte!DG15/Erwerbspersonen!$C16</f>
        <v>4.0338897319170464</v>
      </c>
      <c r="DH15" s="21">
        <f>100*Monatswerte!DH15/Erwerbspersonen!$C16</f>
        <v>3.9706626201315123</v>
      </c>
      <c r="DI15" s="21">
        <f>100*Monatswerte!DI15/Erwerbspersonen!$C16</f>
        <v>3.8884673748103187</v>
      </c>
      <c r="DJ15" s="21">
        <f>100*Monatswerte!DJ15/Erwerbspersonen!$C16</f>
        <v>3.8631765300961054</v>
      </c>
      <c r="DK15" s="21">
        <f>100*Monatswerte!DK15/Erwerbspersonen!$C16</f>
        <v>3.8031107738998484</v>
      </c>
      <c r="DL15" s="21">
        <f>100*Monatswerte!DL15/Erwerbspersonen!$C16</f>
        <v>3.7588517956499747</v>
      </c>
      <c r="DM15" s="21">
        <f>100*Monatswerte!DM15/Erwerbspersonen!$C16</f>
        <v>3.7651745068285281</v>
      </c>
      <c r="DN15" s="21">
        <f>100*Monatswerte!DN15/Erwerbspersonen!$C16</f>
        <v>3.6924633282751644</v>
      </c>
      <c r="DO15" s="21">
        <f>100*Monatswerte!DO15/Erwerbspersonen!$C16</f>
        <v>3.5660091047040972</v>
      </c>
      <c r="DP15" s="21">
        <f>100*Monatswerte!DP15/Erwerbspersonen!$C16</f>
        <v>3.6229135053110775</v>
      </c>
      <c r="DQ15" s="21">
        <f>100*Monatswerte!DQ15/Erwerbspersonen!$C16</f>
        <v>3.7714972180070814</v>
      </c>
      <c r="DR15" s="27">
        <f>100*Monatswerte!DR15/Erwerbspersonen!$C16</f>
        <v>3.913758219524532</v>
      </c>
      <c r="DS15" s="21">
        <f>100*Monatswerte!DS15/Erwerbspersonen!$D16</f>
        <v>3.4852234677536758</v>
      </c>
      <c r="DT15" s="21">
        <f>100*Monatswerte!DT15/Erwerbspersonen!$D16</f>
        <v>3.4328140922987336</v>
      </c>
      <c r="DU15" s="21">
        <f>100*Monatswerte!DU15/Erwerbspersonen!$D16</f>
        <v>3.3978745086621052</v>
      </c>
      <c r="DV15" s="21">
        <f>100*Monatswerte!DV15/Erwerbspersonen!$D16</f>
        <v>3.3338186053282866</v>
      </c>
      <c r="DW15" s="21">
        <f>100*Monatswerte!DW15/Erwerbspersonen!$D16</f>
        <v>3.258116174115592</v>
      </c>
      <c r="DX15" s="21">
        <f>100*Monatswerte!DX15/Erwerbspersonen!$D16</f>
        <v>3.1649439510845827</v>
      </c>
      <c r="DY15" s="21">
        <f>100*Monatswerte!DY15/Erwerbspersonen!$D16</f>
        <v>3.1241811035085165</v>
      </c>
      <c r="DZ15" s="21">
        <f>100*Monatswerte!DZ15/Erwerbspersonen!$D16</f>
        <v>2.9611297132042509</v>
      </c>
      <c r="EA15" s="21">
        <f>100*Monatswerte!EA15/Erwerbspersonen!$D16</f>
        <v>2.9960692968408793</v>
      </c>
      <c r="EB15" s="21">
        <f>100*Monatswerte!EB15/Erwerbspersonen!$D16</f>
        <v>3.0222739845683506</v>
      </c>
      <c r="EC15" s="21">
        <f>100*Monatswerte!EC15/Erwerbspersonen!$D16</f>
        <v>3.1241811035085165</v>
      </c>
      <c r="ED15" s="21">
        <f>100*Monatswerte!ED15/Erwerbspersonen!$D16</f>
        <v>3.1998835347212111</v>
      </c>
      <c r="EE15" s="25">
        <f>100*Monatswerte!EE15/Erwerbspersonen!$D16</f>
        <v>3.2552045421458726</v>
      </c>
      <c r="EF15" s="21">
        <f>100*Monatswerte!EF15/Erwerbspersonen!$D16</f>
        <v>3.3221720774494106</v>
      </c>
      <c r="EG15" s="21">
        <f>100*Monatswerte!EG15/Erwerbspersonen!$D16</f>
        <v>3.4066094045712623</v>
      </c>
      <c r="EH15" s="21">
        <f>100*Monatswerte!EH15/Erwerbspersonen!$D16</f>
        <v>3.4997816276022711</v>
      </c>
      <c r="EI15" s="21">
        <f>100*Monatswerte!EI15/Erwerbspersonen!$D16</f>
        <v>3.4735769398747998</v>
      </c>
      <c r="EJ15" s="21">
        <f>100*Monatswerte!EJ15/Erwerbspersonen!$D16</f>
        <v>3.5434561071480566</v>
      </c>
      <c r="EK15" s="21">
        <f>100*Monatswerte!EK15/Erwerbspersonen!$D16</f>
        <v>3.5405444751783373</v>
      </c>
      <c r="EL15" s="21">
        <f>100*Monatswerte!EL15/Erwerbspersonen!$D16</f>
        <v>3.5609258989663708</v>
      </c>
      <c r="EM15" s="21">
        <f>100*Monatswerte!EM15/Erwerbspersonen!$D16</f>
        <v>3.6570097539670985</v>
      </c>
      <c r="EN15" s="21">
        <f>100*Monatswerte!EN15/Erwerbspersonen!$D16</f>
        <v>3.7530936089678266</v>
      </c>
      <c r="EO15" s="21">
        <f>100*Monatswerte!EO15/Erwerbspersonen!$D16</f>
        <v>3.9452613189692824</v>
      </c>
      <c r="EP15" s="21">
        <f>100*Monatswerte!EP15/Erwerbspersonen!$D16</f>
        <v>4.0617265977580432</v>
      </c>
      <c r="EQ15" s="25">
        <f>100*Monatswerte!EQ15/Erwerbspersonen!$D16</f>
        <v>4.0384335420002913</v>
      </c>
      <c r="ER15" s="21">
        <f>100*Monatswerte!ER15/Erwerbspersonen!$D16</f>
        <v>4.154898820789052</v>
      </c>
      <c r="ES15" s="21">
        <f>100*Monatswerte!ES15/Erwerbspersonen!$D16</f>
        <v>4.1257825010918623</v>
      </c>
      <c r="ET15" s="21">
        <f>100*Monatswerte!ET15/Erwerbspersonen!$D16</f>
        <v>4.0762847576066381</v>
      </c>
      <c r="EU15" s="21">
        <f>100*Monatswerte!EU15/Erwerbspersonen!$D16</f>
        <v>4.1636337166982091</v>
      </c>
      <c r="EV15" s="21">
        <f>100*Monatswerte!EV15/Erwerbspersonen!$D16</f>
        <v>4.1956616683651182</v>
      </c>
      <c r="EW15" s="21">
        <f>100*Monatswerte!EW15/Erwerbspersonen!$D16</f>
        <v>4.1054010773038287</v>
      </c>
      <c r="EX15" s="21">
        <f>100*Monatswerte!EX15/Erwerbspersonen!$D16</f>
        <v>4.1141359732129859</v>
      </c>
      <c r="EY15" s="21">
        <f>100*Monatswerte!EY15/Erwerbspersonen!$D16</f>
        <v>4.1257825010918623</v>
      </c>
      <c r="EZ15" s="21">
        <f>100*Monatswerte!EZ15/Erwerbspersonen!$D16</f>
        <v>4.1578104527587714</v>
      </c>
      <c r="FA15" s="21">
        <f>100*Monatswerte!FA15/Erwerbspersonen!$D16</f>
        <v>4.3004804192750035</v>
      </c>
      <c r="FB15" s="27">
        <f>100*Monatswerte!FB15/Erwerbspersonen!$D16</f>
        <v>4.4577085456398313</v>
      </c>
      <c r="FC15" s="21">
        <f>100*Monatswerte!FC15/Erwerbspersonen!$E16</f>
        <v>4.1089332730512487</v>
      </c>
      <c r="FD15" s="21">
        <f>100*Monatswerte!FD15/Erwerbspersonen!$E16</f>
        <v>4.0982952581048373</v>
      </c>
      <c r="FE15" s="21">
        <f>100*Monatswerte!FE15/Erwerbspersonen!$E16</f>
        <v>4.1913778888859339</v>
      </c>
      <c r="FF15" s="21">
        <f>100*Monatswerte!FF15/Erwerbspersonen!$E16</f>
        <v>4.0956357543682351</v>
      </c>
      <c r="FG15" s="21">
        <f>100*Monatswerte!FG15/Erwerbspersonen!$E16</f>
        <v>4.0717002207388102</v>
      </c>
      <c r="FH15" s="21">
        <f>100*Monatswerte!FH15/Erwerbspersonen!$E16</f>
        <v>4.0770192282120155</v>
      </c>
      <c r="FI15" s="21">
        <f>100*Monatswerte!FI15/Erwerbspersonen!$E16</f>
        <v>4.0929762506316321</v>
      </c>
      <c r="FJ15" s="21">
        <f>100*Monatswerte!FJ15/Erwerbspersonen!$E16</f>
        <v>4.0610622057923988</v>
      </c>
      <c r="FK15" s="21">
        <f>100*Monatswerte!FK15/Erwerbspersonen!$E16</f>
        <v>4.0557431983191936</v>
      </c>
      <c r="FL15" s="21">
        <f>100*Monatswerte!FL15/Erwerbspersonen!$E16</f>
        <v>3.9945746123773302</v>
      </c>
      <c r="FM15" s="21">
        <f>100*Monatswerte!FM15/Erwerbspersonen!$E16</f>
        <v>4.1621233477833037</v>
      </c>
      <c r="FN15" s="21">
        <f>100*Monatswerte!FN15/Erwerbspersonen!$E16</f>
        <v>4.247227467354592</v>
      </c>
      <c r="FO15" s="25">
        <f>100*Monatswerte!FO15/Erwerbspersonen!$E16</f>
        <v>4.220632429988564</v>
      </c>
      <c r="FP15" s="21">
        <f>100*Monatswerte!FP15/Erwerbspersonen!$E16</f>
        <v>4.1833993776761256</v>
      </c>
      <c r="FQ15" s="21">
        <f>100*Monatswerte!FQ15/Erwerbspersonen!$E16</f>
        <v>4.2073349113055505</v>
      </c>
      <c r="FR15" s="21">
        <f>100*Monatswerte!FR15/Erwerbspersonen!$E16</f>
        <v>4.0796787319486185</v>
      </c>
      <c r="FS15" s="21">
        <f>100*Monatswerte!FS15/Erwerbspersonen!$E16</f>
        <v>3.9600010638014949</v>
      </c>
      <c r="FT15" s="21">
        <f>100*Monatswerte!FT15/Erwerbspersonen!$E16</f>
        <v>3.6089465705699317</v>
      </c>
      <c r="FU15" s="21">
        <f>100*Monatswerte!FU15/Erwerbspersonen!$E16</f>
        <v>3.5132044360522325</v>
      </c>
      <c r="FV15" s="21">
        <f>100*Monatswerte!FV15/Erwerbspersonen!$E16</f>
        <v>3.3562937155926704</v>
      </c>
      <c r="FW15" s="21">
        <f>100*Monatswerte!FW15/Erwerbspersonen!$E16</f>
        <v>3.2898061221776018</v>
      </c>
      <c r="FX15" s="21">
        <f>100*Monatswerte!FX15/Erwerbspersonen!$E16</f>
        <v>3.4041647828515198</v>
      </c>
      <c r="FY15" s="21">
        <f>100*Monatswerte!FY15/Erwerbspersonen!$E16</f>
        <v>3.4493763463737666</v>
      </c>
      <c r="FZ15" s="21">
        <f>100*Monatswerte!FZ15/Erwerbspersonen!$E16</f>
        <v>3.4307598202175473</v>
      </c>
      <c r="GA15" s="25">
        <f>100*Monatswerte!GA15/Erwerbspersonen!$E16</f>
        <v>3.4546953538469722</v>
      </c>
      <c r="GB15" s="21">
        <f>100*Monatswerte!GB15/Erwerbspersonen!$E16</f>
        <v>3.4281003164809447</v>
      </c>
      <c r="GC15" s="21">
        <f>100*Monatswerte!GC15/Erwerbspersonen!$E16</f>
        <v>3.3882077604319032</v>
      </c>
      <c r="GD15" s="21">
        <f>100*Monatswerte!GD15/Erwerbspersonen!$E16</f>
        <v>3.3669317305390813</v>
      </c>
      <c r="GE15" s="21">
        <f>100*Monatswerte!GE15/Erwerbspersonen!$E16</f>
        <v>3.3137416558070263</v>
      </c>
      <c r="GF15" s="21">
        <f>100*Monatswerte!GF15/Erwerbspersonen!$E16</f>
        <v>3.241935054918752</v>
      </c>
      <c r="GG15" s="21">
        <f>100*Monatswerte!GG15/Erwerbspersonen!$E16</f>
        <v>3.1594904390840668</v>
      </c>
      <c r="GH15" s="21">
        <f>100*Monatswerte!GH15/Erwerbspersonen!$E16</f>
        <v>3.0903433419323956</v>
      </c>
      <c r="GI15" s="21">
        <f>100*Monatswerte!GI15/Erwerbspersonen!$E16</f>
        <v>3.0930028456689982</v>
      </c>
      <c r="GJ15" s="21">
        <f>100*Monatswerte!GJ15/Erwerbspersonen!$E16</f>
        <v>3.1195978830350257</v>
      </c>
      <c r="GK15" s="21">
        <f>100*Monatswerte!GK15/Erwerbspersonen!$E16</f>
        <v>3.2047020026063135</v>
      </c>
      <c r="GL15" s="21">
        <f>100*Monatswerte!GL15/Erwerbspersonen!$E16</f>
        <v>3.3483152043828621</v>
      </c>
      <c r="GM15" s="25">
        <f>100*Monatswerte!GM15/Erwerbspersonen!$F16</f>
        <v>3.4419303965874088</v>
      </c>
      <c r="GN15" s="21">
        <f>100*Monatswerte!GN15/Erwerbspersonen!$F16</f>
        <v>3.4392847929005623</v>
      </c>
      <c r="GO15" s="21">
        <f>100*Monatswerte!GO15/Erwerbspersonen!$F16</f>
        <v>3.6535786915351358</v>
      </c>
      <c r="GP15" s="21">
        <f>100*Monatswerte!GP15/Erwerbspersonen!$F16</f>
        <v>3.8493533643617832</v>
      </c>
      <c r="GQ15" s="21">
        <f>100*Monatswerte!GQ15/Erwerbspersonen!$F16</f>
        <v>4.0266088113805045</v>
      </c>
      <c r="GR15" s="21">
        <f>100*Monatswerte!GR15/Erwerbspersonen!$F16</f>
        <v>4.2329658989545385</v>
      </c>
      <c r="GS15" s="21">
        <f>100*Monatswerte!GS15/Erwerbspersonen!$F16</f>
        <v>4.3255620279941684</v>
      </c>
      <c r="GT15" s="21">
        <f>100*Monatswerte!GT15/Erwerbspersonen!$F16</f>
        <v>4.3864109127916402</v>
      </c>
      <c r="GU15" s="21">
        <f>100*Monatswerte!GU15/Erwerbspersonen!$F16</f>
        <v>4.4472597975891119</v>
      </c>
      <c r="GV15" s="21">
        <f>100*Monatswerte!GV15/Erwerbspersonen!$F16</f>
        <v>4.5636663598103615</v>
      </c>
      <c r="GW15" s="21">
        <f>100*Monatswerte!GW15/Erwerbspersonen!$F16</f>
        <v>4.7858970695054746</v>
      </c>
      <c r="GX15" s="27">
        <f>100*Monatswerte!GX15/Erwerbspersonen!$F16</f>
        <v>4.9208228575346507</v>
      </c>
      <c r="GY15" s="21">
        <f>100*Monatswerte!GY15/Erwerbspersonen!$F16</f>
        <v>4.9049492354135706</v>
      </c>
      <c r="GZ15" s="21">
        <f>100*Monatswerte!GZ15/Erwerbspersonen!$F16</f>
        <v>4.8546827653634859</v>
      </c>
      <c r="HA15" s="21">
        <f>100*Monatswerte!HA15/Erwerbspersonen!$F16</f>
        <v>4.8837844059187985</v>
      </c>
      <c r="HB15" s="21">
        <f>100*Monatswerte!HB15/Erwerbspersonen!$F16</f>
        <v>4.8070618990002476</v>
      </c>
      <c r="HC15" s="21">
        <f>100*Monatswerte!HC15/Erwerbspersonen!$F16</f>
        <v>4.7224025810211563</v>
      </c>
      <c r="HD15" s="21">
        <f>100*Monatswerte!HD15/Erwerbspersonen!$F16</f>
        <v>4.6324520556683728</v>
      </c>
      <c r="HE15" s="21">
        <f>100*Monatswerte!HE15/Erwerbspersonen!$F16</f>
        <v>4.5292735118813559</v>
      </c>
      <c r="HF15" s="21">
        <f>100*Monatswerte!HF15/Erwerbspersonen!$F16</f>
        <v>4.3917021201653332</v>
      </c>
      <c r="HG15" s="21">
        <f>100*Monatswerte!HG15/Erwerbspersonen!$F16</f>
        <v>4.2779411616309302</v>
      </c>
      <c r="HH15" s="21">
        <f>100*Monatswerte!HH15/Erwerbspersonen!$F16</f>
        <v>4.1800538252176063</v>
      </c>
      <c r="HI15" s="21">
        <f>100*Monatswerte!HI15/Erwerbspersonen!$F16</f>
        <v>4.240902710015078</v>
      </c>
      <c r="HJ15" s="21">
        <f>100*Monatswerte!HJ15/Erwerbspersonen!$F16</f>
        <v>4.235611502641385</v>
      </c>
      <c r="HK15" s="60">
        <f>100*Monatswerte!HK15/Erwerbspersonen!$F16</f>
        <v>4.1615345994096806</v>
      </c>
      <c r="HL15" s="3">
        <f>100*Monatswerte!HL15/Erwerbspersonen!$F16</f>
        <v>4.132432958854368</v>
      </c>
      <c r="HM15" s="3">
        <f>100*Monatswerte!HM15/Erwerbspersonen!$F16</f>
        <v>4.0266088113805045</v>
      </c>
      <c r="HN15" s="3">
        <f>100*Monatswerte!HN15/Erwerbspersonen!$F16</f>
        <v>3.8493533643617832</v>
      </c>
      <c r="HO15" s="3">
        <f>100*Monatswerte!HO15/Erwerbspersonen!$F16</f>
        <v>3.6720979173430619</v>
      </c>
      <c r="HP15" s="3">
        <f>100*Monatswerte!HP15/Erwerbspersonen!$F16</f>
        <v>3.4895512629506475</v>
      </c>
      <c r="HQ15" s="3">
        <f>100*Monatswerte!HQ15/Erwerbspersonen!$F16</f>
        <v>3.3943095302241701</v>
      </c>
      <c r="HR15" s="3">
        <f>100*Monatswerte!HR15/Erwerbspersonen!$F16</f>
        <v>3.3255238343661588</v>
      </c>
      <c r="HS15" s="3">
        <f>100*Monatswerte!HS15/Erwerbspersonen!$F16</f>
        <v>3.1747244242159036</v>
      </c>
      <c r="HT15" s="3">
        <f>100*Monatswerte!HT15/Erwerbspersonen!$F16</f>
        <v>3.0927107099236593</v>
      </c>
      <c r="HU15" s="3">
        <f>100*Monatswerte!HU15/Erwerbspersonen!$F16</f>
        <v>3.145622783660591</v>
      </c>
      <c r="HV15" s="64">
        <f>100*Monatswerte!HV15/Erwerbspersonen!$F16</f>
        <v>3.1932436500238297</v>
      </c>
      <c r="HW15" s="3">
        <f>100*[5]Monatswerte!HW15/[5]Erwerbspersonen!$F16</f>
        <v>3.0874195025499662</v>
      </c>
      <c r="HX15" s="3">
        <f>100*[5]Monatswerte!HX15/[5]Erwerbspersonen!$F16</f>
        <v>3.0477354472472675</v>
      </c>
      <c r="HY15" s="3">
        <f>100*[5]Monatswerte!HY15/[5]Erwerbspersonen!$F16</f>
        <v>2.9181008665917849</v>
      </c>
      <c r="HZ15" s="3">
        <f>100*[5]Monatswerte!HZ15/[5]Erwerbspersonen!$F16</f>
        <v>2.7911118896231484</v>
      </c>
      <c r="IA15" s="3">
        <f>100*[5]Monatswerte!IA15/[5]Erwerbspersonen!$F16</f>
        <v>2.7064525716440579</v>
      </c>
      <c r="IB15" s="3">
        <f>100*[5]Monatswerte!IB15/[5]Erwerbspersonen!$F16</f>
        <v>2.6270844610386601</v>
      </c>
      <c r="IC15" s="3">
        <f>100*[5]Monatswerte!IC15/[5]Erwerbspersonen!$F16</f>
        <v>2.6059196315438875</v>
      </c>
      <c r="ID15" s="3">
        <f>100*[5]Monatswerte!ID15/[5]Erwerbspersonen!$F16</f>
        <v>2.5926916131096545</v>
      </c>
      <c r="IE15" s="3">
        <f>100*[5]Monatswerte!IE15/[5]Erwerbspersonen!$F16</f>
        <v>2.5953372167965014</v>
      </c>
      <c r="IF15" s="3">
        <f>100*[5]Monatswerte!IF15/[5]Erwerbspersonen!$F16</f>
        <v>2.7408454195730636</v>
      </c>
      <c r="IG15" s="3">
        <f>100*[5]Monatswerte!IG15/[5]Erwerbspersonen!$F16</f>
        <v>3.0530266546209606</v>
      </c>
      <c r="IH15" s="3">
        <f>100*[5]Monatswerte!IH15/[5]Erwerbspersonen!$F16</f>
        <v>3.1165211431052788</v>
      </c>
      <c r="II15" s="60">
        <f>100*[6]Monatswerte!II15/[6]Erwerbspersonen!$G16</f>
        <v>3.3513898008316918</v>
      </c>
      <c r="IJ15" s="3">
        <f>100*[6]Monatswerte!IJ15/[6]Erwerbspersonen!$G16</f>
        <v>3.4115780258262203</v>
      </c>
      <c r="IK15" s="3">
        <f>100*[6]Monatswerte!IK15/[6]Erwerbspersonen!$G16</f>
        <v>3.3760122565112716</v>
      </c>
      <c r="IL15" s="3">
        <f>100*[6]Monatswerte!IL15/[6]Erwerbspersonen!$G16</f>
        <v>3.3732764281024292</v>
      </c>
      <c r="IM15" s="3">
        <f>100*[6]Monatswerte!IM15/[6]Erwerbspersonen!$G16</f>
        <v>3.326767345152112</v>
      </c>
      <c r="IN15" s="3">
        <f>100*[6]Monatswerte!IN15/[6]Erwerbspersonen!$G16</f>
        <v>3.3924272269643247</v>
      </c>
      <c r="IO15" s="3">
        <f>100*[6]Monatswerte!IO15/[6]Erwerbspersonen!$G16</f>
        <v>3.4389363099146419</v>
      </c>
      <c r="IP15" s="3">
        <f>100*[6]Monatswerte!IP15/[6]Erwerbspersonen!$G16</f>
        <v>3.3924272269643247</v>
      </c>
      <c r="IQ15" s="3">
        <f>100*[6]Monatswerte!IQ15/[6]Erwerbspersonen!$G16</f>
        <v>3.4553512803676951</v>
      </c>
      <c r="IR15" s="3">
        <f>100*[6]Monatswerte!IR15/[6]Erwerbspersonen!$G16</f>
        <v>3.5511052746771723</v>
      </c>
      <c r="IS15" s="3">
        <f>100*[6]Monatswerte!IS15/[6]Erwerbspersonen!$G16</f>
        <v>3.726198292843073</v>
      </c>
      <c r="IT15" s="3">
        <f>100*[6]Monatswerte!IT15/[6]Erwerbspersonen!$G16</f>
        <v>3.8328956007879187</v>
      </c>
      <c r="IU15" s="60">
        <f>100*[7]Monatswerte!IU15/[7]Erwerbspersonen!$G16</f>
        <v>3.9751586780477131</v>
      </c>
      <c r="IV15" s="3">
        <f>100*[7]Monatswerte!IV15/[7]Erwerbspersonen!$G16</f>
        <v>3.9696870212300284</v>
      </c>
      <c r="IW15" s="3">
        <f>100*[7]Monatswerte!IW15/[7]Erwerbspersonen!$G16</f>
        <v>4.0736485007660317</v>
      </c>
      <c r="IX15" s="3">
        <f>100*[7]Monatswerte!IX15/[7]Erwerbspersonen!$G16</f>
        <v>3.9943094769096081</v>
      </c>
      <c r="IY15" s="3">
        <f>100*[7]Monatswerte!IY15/[7]Erwerbspersonen!$G16</f>
        <v>4.0216677609980298</v>
      </c>
      <c r="IZ15" s="3">
        <f>100*[7]Monatswerte!IZ15/[7]Erwerbspersonen!$G16</f>
        <v>4.0025169621361352</v>
      </c>
      <c r="JA15" s="3">
        <f>100*[7]Monatswerte!JA15/[7]Erwerbspersonen!$G16</f>
        <v>3.9696870212300284</v>
      </c>
      <c r="JB15" s="3">
        <f>100*[7]Monatswerte!JB15/[7]Erwerbspersonen!$G16</f>
        <v>3.9505362223681333</v>
      </c>
      <c r="JC15" s="3">
        <f>100*[7]Monatswerte!JC15/[7]Erwerbspersonen!$G16</f>
        <v>3.9341212519150797</v>
      </c>
      <c r="JD15" s="3">
        <f>100*[7]Monatswerte!JD15/[7]Erwerbspersonen!$G16</f>
        <v>3.9833661632742396</v>
      </c>
      <c r="JE15" s="3">
        <f>100*[7]Monatswerte!JE15/[7]Erwerbspersonen!$G16</f>
        <v>4.0107244473626613</v>
      </c>
      <c r="JF15" s="3">
        <f>100*[7]Monatswerte!JF15/[7]Erwerbspersonen!$G16</f>
        <v>4.1940249507550886</v>
      </c>
      <c r="JG15" s="60">
        <f>100*[7]Monatswerte!JG15/[7]Erwerbspersonen!$G16</f>
        <v>4.2952506018822501</v>
      </c>
      <c r="JH15" s="3">
        <f>100*[7]Monatswerte!JH15/[7]Erwerbspersonen!$G16</f>
        <v>4.2596848325673013</v>
      </c>
      <c r="JI15" s="3">
        <f>100*[7]Monatswerte!JI15/[7]Erwerbspersonen!$G16</f>
        <v>4.3061939155176185</v>
      </c>
    </row>
    <row r="16" spans="1:269" s="1" customFormat="1" x14ac:dyDescent="0.2">
      <c r="A16" s="1" t="s">
        <v>41</v>
      </c>
      <c r="B16" s="1">
        <v>13</v>
      </c>
      <c r="C16" s="21">
        <f>100*Monatswerte!C16/Erwerbspersonen!$B17</f>
        <v>4.5800541865565734</v>
      </c>
      <c r="D16" s="21">
        <f>100*Monatswerte!D16/Erwerbspersonen!$B17</f>
        <v>4.6058573087343566</v>
      </c>
      <c r="E16" s="21">
        <f>100*Monatswerte!E16/Erwerbspersonen!$B17</f>
        <v>4.6703651141788161</v>
      </c>
      <c r="F16" s="21">
        <f>100*Monatswerte!F16/Erwerbspersonen!$B17</f>
        <v>4.5800541865565734</v>
      </c>
      <c r="G16" s="21">
        <f>100*Monatswerte!G16/Erwerbspersonen!$B17</f>
        <v>4.4381370145787642</v>
      </c>
      <c r="H16" s="21">
        <f>100*Monatswerte!H16/Erwerbspersonen!$B17</f>
        <v>4.4381370145787642</v>
      </c>
      <c r="I16" s="21">
        <f>100*Monatswerte!I16/Erwerbspersonen!$B17</f>
        <v>4.296219842600955</v>
      </c>
      <c r="J16" s="21">
        <f>100*Monatswerte!J16/Erwerbspersonen!$B17</f>
        <v>4.2704167204231709</v>
      </c>
      <c r="K16" s="21">
        <f>100*Monatswerte!K16/Erwerbspersonen!$B17</f>
        <v>4.2188104760676044</v>
      </c>
      <c r="L16" s="21">
        <f>100*Monatswerte!L16/Erwerbspersonen!$B17</f>
        <v>4.2704167204231709</v>
      </c>
      <c r="M16" s="21">
        <f>100*Monatswerte!M16/Erwerbspersonen!$B17</f>
        <v>4.4381370145787642</v>
      </c>
      <c r="N16" s="27">
        <f>100*Monatswerte!N16/Erwerbspersonen!$B17</f>
        <v>4.528447942201006</v>
      </c>
      <c r="O16" s="21">
        <f>100*Monatswerte!O16/Erwerbspersonen!$B17</f>
        <v>4.4897432589343307</v>
      </c>
      <c r="P16" s="21">
        <f>100*Monatswerte!P16/Erwerbspersonen!$B17</f>
        <v>4.5542510643787901</v>
      </c>
      <c r="Q16" s="21">
        <f>100*Monatswerte!Q16/Erwerbspersonen!$B17</f>
        <v>4.657463553089924</v>
      </c>
      <c r="R16" s="21">
        <f>100*Monatswerte!R16/Erwerbspersonen!$B17</f>
        <v>4.7090697974454905</v>
      </c>
      <c r="S16" s="21">
        <f>100*Monatswerte!S16/Erwerbspersonen!$B17</f>
        <v>4.8251838472455164</v>
      </c>
      <c r="T16" s="21">
        <f>100*Monatswerte!T16/Erwerbspersonen!$B17</f>
        <v>4.8380854083344085</v>
      </c>
      <c r="U16" s="21">
        <f>100*Monatswerte!U16/Erwerbspersonen!$B17</f>
        <v>4.7993807250677332</v>
      </c>
      <c r="V16" s="21">
        <f>100*Monatswerte!V16/Erwerbspersonen!$B17</f>
        <v>4.7864791639788411</v>
      </c>
      <c r="W16" s="21">
        <f>100*Monatswerte!W16/Erwerbspersonen!$B17</f>
        <v>4.9929041414011097</v>
      </c>
      <c r="X16" s="21">
        <f>100*Monatswerte!X16/Erwerbspersonen!$B17</f>
        <v>4.9800025803122177</v>
      </c>
      <c r="Y16" s="21">
        <f>100*Monatswerte!Y16/Erwerbspersonen!$B17</f>
        <v>5.0703135079344603</v>
      </c>
      <c r="Z16" s="27">
        <f>100*Monatswerte!Z16/Erwerbspersonen!$B17</f>
        <v>5.1606244355567021</v>
      </c>
      <c r="AA16" s="21">
        <f>100*Monatswerte!AA16/Erwerbspersonen!$B17</f>
        <v>5.2122306799122695</v>
      </c>
      <c r="AB16" s="21">
        <f>100*Monatswerte!AB16/Erwerbspersonen!$B17</f>
        <v>5.3799509740678619</v>
      </c>
      <c r="AC16" s="21">
        <f>100*Monatswerte!AC16/Erwerbspersonen!$B17</f>
        <v>5.4573603406012126</v>
      </c>
      <c r="AD16" s="21">
        <f>100*Monatswerte!AD16/Erwerbspersonen!$B17</f>
        <v>5.4573603406012126</v>
      </c>
      <c r="AE16" s="21">
        <f>100*Monatswerte!AE16/Erwerbspersonen!$B17</f>
        <v>5.5605728293123464</v>
      </c>
      <c r="AF16" s="21">
        <f>100*Monatswerte!AF16/Erwerbspersonen!$B17</f>
        <v>5.5863759514901306</v>
      </c>
      <c r="AG16" s="21">
        <f>100*Monatswerte!AG16/Erwerbspersonen!$B17</f>
        <v>5.5476712682234552</v>
      </c>
      <c r="AH16" s="21">
        <f>100*Monatswerte!AH16/Erwerbspersonen!$B17</f>
        <v>5.6250806347568059</v>
      </c>
      <c r="AI16" s="21">
        <f>100*Monatswerte!AI16/Erwerbspersonen!$B17</f>
        <v>5.5734743904012385</v>
      </c>
      <c r="AJ16" s="21">
        <f>100*Monatswerte!AJ16/Erwerbspersonen!$B17</f>
        <v>5.4831634627789967</v>
      </c>
      <c r="AK16" s="21">
        <f>100*Monatswerte!AK16/Erwerbspersonen!$B17</f>
        <v>5.4444587795123214</v>
      </c>
      <c r="AL16" s="27">
        <f>100*Monatswerte!AL16/Erwerbspersonen!$B17</f>
        <v>5.4960650238678879</v>
      </c>
      <c r="AM16" s="21">
        <f>100*Monatswerte!AM16/Erwerbspersonen!$B17</f>
        <v>5.4960650238678879</v>
      </c>
      <c r="AN16" s="21">
        <f>100*Monatswerte!AN16/Erwerbspersonen!$B17</f>
        <v>5.5347697071345632</v>
      </c>
      <c r="AO16" s="21">
        <f>100*Monatswerte!AO16/Erwerbspersonen!$B17</f>
        <v>5.7024900012901565</v>
      </c>
      <c r="AP16" s="21">
        <f>100*Monatswerte!AP16/Erwerbspersonen!$B17</f>
        <v>5.6250806347568059</v>
      </c>
      <c r="AQ16" s="21">
        <f>100*Monatswerte!AQ16/Erwerbspersonen!$B17</f>
        <v>5.6250806347568059</v>
      </c>
      <c r="AR16" s="21">
        <f>100*Monatswerte!AR16/Erwerbspersonen!$B17</f>
        <v>5.4960650238678879</v>
      </c>
      <c r="AS16" s="21">
        <f>100*Monatswerte!AS16/Erwerbspersonen!$B17</f>
        <v>5.4186556573345372</v>
      </c>
      <c r="AT16" s="21">
        <f>100*Monatswerte!AT16/Erwerbspersonen!$B17</f>
        <v>5.3154431686234034</v>
      </c>
      <c r="AU16" s="21">
        <f>100*Monatswerte!AU16/Erwerbspersonen!$B17</f>
        <v>5.2896400464456201</v>
      </c>
      <c r="AV16" s="21">
        <f>100*Monatswerte!AV16/Erwerbspersonen!$B17</f>
        <v>5.1735259966455942</v>
      </c>
      <c r="AW16" s="21">
        <f>100*Monatswerte!AW16/Erwerbspersonen!$B17</f>
        <v>5.2380338020900528</v>
      </c>
      <c r="AX16" s="27">
        <f>100*Monatswerte!AX16/Erwerbspersonen!$B17</f>
        <v>5.1735259966455942</v>
      </c>
      <c r="AY16" s="21">
        <f>100*Monatswerte!AY16/Erwerbspersonen!$C17</f>
        <v>3.5068068240565227</v>
      </c>
      <c r="AZ16" s="21">
        <f>100*Monatswerte!AZ16/Erwerbspersonen!$C17</f>
        <v>3.4120282612441839</v>
      </c>
      <c r="BA16" s="21">
        <f>100*Monatswerte!BA16/Erwerbspersonen!$C17</f>
        <v>3.291400999483026</v>
      </c>
      <c r="BB16" s="21">
        <f>100*Monatswerte!BB16/Erwerbspersonen!$C17</f>
        <v>3.2310873686024468</v>
      </c>
      <c r="BC16" s="21">
        <f>100*Monatswerte!BC16/Erwerbspersonen!$C17</f>
        <v>3.1621575047389281</v>
      </c>
      <c r="BD16" s="21">
        <f>100*Monatswerte!BD16/Erwerbspersonen!$C17</f>
        <v>3.0846114078924693</v>
      </c>
      <c r="BE16" s="21">
        <f>100*Monatswerte!BE16/Erwerbspersonen!$C17</f>
        <v>3.0673789419265898</v>
      </c>
      <c r="BF16" s="21">
        <f>100*Monatswerte!BF16/Erwerbspersonen!$C17</f>
        <v>2.9381354471824919</v>
      </c>
      <c r="BG16" s="21">
        <f>100*Monatswerte!BG16/Erwerbspersonen!$C17</f>
        <v>2.998449078063071</v>
      </c>
      <c r="BH16" s="21">
        <f>100*Monatswerte!BH16/Erwerbspersonen!$C17</f>
        <v>2.9726003791142515</v>
      </c>
      <c r="BI16" s="21">
        <f>100*Monatswerte!BI16/Erwerbspersonen!$C17</f>
        <v>3.1449250387730485</v>
      </c>
      <c r="BJ16" s="27">
        <f>100*Monatswerte!BJ16/Erwerbspersonen!$C17</f>
        <v>3.2224711356195073</v>
      </c>
      <c r="BK16" s="21">
        <f>100*Monatswerte!BK16/Erwerbspersonen!$C17</f>
        <v>3.2483198345683268</v>
      </c>
      <c r="BL16" s="21">
        <f>100*Monatswerte!BL16/Erwerbspersonen!$C17</f>
        <v>3.4034120282612443</v>
      </c>
      <c r="BM16" s="21">
        <f>100*Monatswerte!BM16/Erwerbspersonen!$C17</f>
        <v>3.5326555230053422</v>
      </c>
      <c r="BN16" s="21">
        <f>100*Monatswerte!BN16/Erwerbspersonen!$C17</f>
        <v>3.6274340858176806</v>
      </c>
      <c r="BO16" s="21">
        <f>100*Monatswerte!BO16/Erwerbspersonen!$C17</f>
        <v>3.7049801826641393</v>
      </c>
      <c r="BP16" s="21">
        <f>100*Monatswerte!BP16/Erwerbspersonen!$C17</f>
        <v>3.8169912114423572</v>
      </c>
      <c r="BQ16" s="21">
        <f>100*Monatswerte!BQ16/Erwerbspersonen!$C17</f>
        <v>3.9376184732035155</v>
      </c>
      <c r="BR16" s="21">
        <f>100*Monatswerte!BR16/Erwerbspersonen!$C17</f>
        <v>4.066861967947613</v>
      </c>
      <c r="BS16" s="21">
        <f>100*Monatswerte!BS16/Erwerbspersonen!$C17</f>
        <v>4.230570394623471</v>
      </c>
      <c r="BT16" s="21">
        <f>100*Monatswerte!BT16/Erwerbspersonen!$C17</f>
        <v>4.3253489574358088</v>
      </c>
      <c r="BU16" s="21">
        <f>100*Monatswerte!BU16/Erwerbspersonen!$C17</f>
        <v>4.4201275202481476</v>
      </c>
      <c r="BV16" s="27">
        <f>100*Monatswerte!BV16/Erwerbspersonen!$C17</f>
        <v>4.5579872479751851</v>
      </c>
      <c r="BW16" s="21">
        <f>100*Monatswerte!BW16/Erwerbspersonen!$C17</f>
        <v>4.7647768395657417</v>
      </c>
      <c r="BX16" s="21">
        <f>100*Monatswerte!BX16/Erwerbspersonen!$C17</f>
        <v>4.7906255385145613</v>
      </c>
      <c r="BY16" s="21">
        <f>100*Monatswerte!BY16/Erwerbspersonen!$C17</f>
        <v>4.9198690332586592</v>
      </c>
      <c r="BZ16" s="21">
        <f>100*Monatswerte!BZ16/Erwerbspersonen!$C17</f>
        <v>4.9715664311562984</v>
      </c>
      <c r="CA16" s="21">
        <f>100*Monatswerte!CA16/Erwerbspersonen!$C17</f>
        <v>4.997415130105118</v>
      </c>
      <c r="CB16" s="21">
        <f>100*Monatswerte!CB16/Erwerbspersonen!$C17</f>
        <v>5.0921936929174567</v>
      </c>
      <c r="CC16" s="21">
        <f>100*Monatswerte!CC16/Erwerbspersonen!$C17</f>
        <v>4.997415130105118</v>
      </c>
      <c r="CD16" s="21">
        <f>100*Monatswerte!CD16/Erwerbspersonen!$C17</f>
        <v>4.9026365672927792</v>
      </c>
      <c r="CE16" s="21">
        <f>100*Monatswerte!CE16/Erwerbspersonen!$C17</f>
        <v>4.86817163536102</v>
      </c>
      <c r="CF16" s="21">
        <f>100*Monatswerte!CF16/Erwerbspersonen!$C17</f>
        <v>4.7647768395657417</v>
      </c>
      <c r="CG16" s="21">
        <f>100*Monatswerte!CG16/Erwerbspersonen!$C17</f>
        <v>4.7733930725486813</v>
      </c>
      <c r="CH16" s="27">
        <f>100*Monatswerte!CH16/Erwerbspersonen!$C17</f>
        <v>4.7820093055316217</v>
      </c>
      <c r="CI16" s="21">
        <f>100*Monatswerte!CI16/Erwerbspersonen!$C17</f>
        <v>4.8337067034292609</v>
      </c>
      <c r="CJ16" s="21">
        <f>100*Monatswerte!CJ16/Erwerbspersonen!$C17</f>
        <v>4.6699982767534038</v>
      </c>
      <c r="CK16" s="21">
        <f>100*Monatswerte!CK16/Erwerbspersonen!$C17</f>
        <v>4.6441495778045843</v>
      </c>
      <c r="CL16" s="21">
        <f>100*Monatswerte!CL16/Erwerbspersonen!$C17</f>
        <v>4.394278821299328</v>
      </c>
      <c r="CM16" s="21">
        <f>100*Monatswerte!CM16/Erwerbspersonen!$C17</f>
        <v>4.1271755988281926</v>
      </c>
      <c r="CN16" s="21">
        <f>100*Monatswerte!CN16/Erwerbspersonen!$C17</f>
        <v>4.0410132689987934</v>
      </c>
      <c r="CO16" s="21">
        <f>100*Monatswerte!CO16/Erwerbspersonen!$C17</f>
        <v>3.9203860072376355</v>
      </c>
      <c r="CP16" s="21">
        <f>100*Monatswerte!CP16/Erwerbspersonen!$C17</f>
        <v>3.9806996381182147</v>
      </c>
      <c r="CQ16" s="21">
        <f>100*Monatswerte!CQ16/Erwerbspersonen!$C17</f>
        <v>3.911769774254696</v>
      </c>
      <c r="CR16" s="21">
        <f>100*Monatswerte!CR16/Erwerbspersonen!$C17</f>
        <v>3.8169912114423572</v>
      </c>
      <c r="CS16" s="21">
        <f>100*Monatswerte!CS16/Erwerbspersonen!$C17</f>
        <v>3.8083749784594176</v>
      </c>
      <c r="CT16" s="27">
        <f>100*Monatswerte!CT16/Erwerbspersonen!$C17</f>
        <v>3.911769774254696</v>
      </c>
      <c r="CU16" s="21">
        <f>100*Monatswerte!CU16/Erwerbspersonen!$C17</f>
        <v>3.911769774254696</v>
      </c>
      <c r="CV16" s="21">
        <f>100*Monatswerte!CV16/Erwerbspersonen!$C17</f>
        <v>3.8169912114423572</v>
      </c>
      <c r="CW16" s="21">
        <f>100*Monatswerte!CW16/Erwerbspersonen!$C17</f>
        <v>3.7135964156470793</v>
      </c>
      <c r="CX16" s="21">
        <f>100*Monatswerte!CX16/Erwerbspersonen!$C17</f>
        <v>3.6791314837153197</v>
      </c>
      <c r="CY16" s="21">
        <f>100*Monatswerte!CY16/Erwerbspersonen!$C17</f>
        <v>3.6877477166982597</v>
      </c>
      <c r="CZ16" s="21">
        <f>100*Monatswerte!CZ16/Erwerbspersonen!$C17</f>
        <v>3.5671204549371014</v>
      </c>
      <c r="DA16" s="21">
        <f>100*Monatswerte!DA16/Erwerbspersonen!$C17</f>
        <v>3.5240392900224022</v>
      </c>
      <c r="DB16" s="21">
        <f>100*Monatswerte!DB16/Erwerbspersonen!$C17</f>
        <v>3.6188178528347406</v>
      </c>
      <c r="DC16" s="21">
        <f>100*Monatswerte!DC16/Erwerbspersonen!$C17</f>
        <v>3.7308288816129589</v>
      </c>
      <c r="DD16" s="21">
        <f>100*Monatswerte!DD16/Erwerbspersonen!$C17</f>
        <v>3.6618990177494402</v>
      </c>
      <c r="DE16" s="21">
        <f>100*Monatswerte!DE16/Erwerbspersonen!$C17</f>
        <v>3.7308288816129589</v>
      </c>
      <c r="DF16" s="27">
        <f>100*Monatswerte!DF16/Erwerbspersonen!$C17</f>
        <v>3.8169912114423572</v>
      </c>
      <c r="DG16" s="21">
        <f>100*Monatswerte!DG16/Erwerbspersonen!$C17</f>
        <v>3.8773048423229364</v>
      </c>
      <c r="DH16" s="21">
        <f>100*Monatswerte!DH16/Erwerbspersonen!$C17</f>
        <v>3.8514561433741168</v>
      </c>
      <c r="DI16" s="21">
        <f>100*Monatswerte!DI16/Erwerbspersonen!$C17</f>
        <v>3.8428399103911768</v>
      </c>
      <c r="DJ16" s="21">
        <f>100*Monatswerte!DJ16/Erwerbspersonen!$C17</f>
        <v>3.7135964156470793</v>
      </c>
      <c r="DK16" s="21">
        <f>100*Monatswerte!DK16/Erwerbspersonen!$C17</f>
        <v>3.5585042219541618</v>
      </c>
      <c r="DL16" s="21">
        <f>100*Monatswerte!DL16/Erwerbspersonen!$C17</f>
        <v>3.5498879889712218</v>
      </c>
      <c r="DM16" s="21">
        <f>100*Monatswerte!DM16/Erwerbspersonen!$C17</f>
        <v>3.5671204549371014</v>
      </c>
      <c r="DN16" s="21">
        <f>100*Monatswerte!DN16/Erwerbspersonen!$C17</f>
        <v>3.4895743580906426</v>
      </c>
      <c r="DO16" s="21">
        <f>100*Monatswerte!DO16/Erwerbspersonen!$C17</f>
        <v>3.4120282612441839</v>
      </c>
      <c r="DP16" s="21">
        <f>100*Monatswerte!DP16/Erwerbspersonen!$C17</f>
        <v>3.5412717559882818</v>
      </c>
      <c r="DQ16" s="21">
        <f>100*Monatswerte!DQ16/Erwerbspersonen!$C17</f>
        <v>3.6274340858176806</v>
      </c>
      <c r="DR16" s="27">
        <f>100*Monatswerte!DR16/Erwerbspersonen!$C17</f>
        <v>3.610201619851801</v>
      </c>
      <c r="DS16" s="21">
        <f>100*Monatswerte!DS16/Erwerbspersonen!$D17</f>
        <v>3.4025846556518893</v>
      </c>
      <c r="DT16" s="21">
        <f>100*Monatswerte!DT16/Erwerbspersonen!$D17</f>
        <v>3.4680189759528872</v>
      </c>
      <c r="DU16" s="21">
        <f>100*Monatswerte!DU16/Erwerbspersonen!$D17</f>
        <v>3.476198265990512</v>
      </c>
      <c r="DV16" s="21">
        <f>100*Monatswerte!DV16/Erwerbspersonen!$D17</f>
        <v>3.5252740062162604</v>
      </c>
      <c r="DW16" s="21">
        <f>100*Monatswerte!DW16/Erwerbspersonen!$D17</f>
        <v>3.5416325862915099</v>
      </c>
      <c r="DX16" s="21">
        <f>100*Monatswerte!DX16/Erwerbspersonen!$D17</f>
        <v>3.5988876165548831</v>
      </c>
      <c r="DY16" s="21">
        <f>100*Monatswerte!DY16/Erwerbspersonen!$D17</f>
        <v>3.5579911663667594</v>
      </c>
      <c r="DZ16" s="21">
        <f>100*Monatswerte!DZ16/Erwerbspersonen!$D17</f>
        <v>3.5170947161786357</v>
      </c>
      <c r="EA16" s="21">
        <f>100*Monatswerte!EA16/Erwerbspersonen!$D17</f>
        <v>3.4516603958776377</v>
      </c>
      <c r="EB16" s="21">
        <f>100*Monatswerte!EB16/Erwerbspersonen!$D17</f>
        <v>3.3616882054637656</v>
      </c>
      <c r="EC16" s="21">
        <f>100*Monatswerte!EC16/Erwerbspersonen!$D17</f>
        <v>3.4271225257647635</v>
      </c>
      <c r="ED16" s="21">
        <f>100*Monatswerte!ED16/Erwerbspersonen!$D17</f>
        <v>3.6234254866677573</v>
      </c>
      <c r="EE16" s="25">
        <f>100*Monatswerte!EE16/Erwerbspersonen!$D17</f>
        <v>3.6561426468182563</v>
      </c>
      <c r="EF16" s="21">
        <f>100*Monatswerte!EF16/Erwerbspersonen!$D17</f>
        <v>3.7542941272697532</v>
      </c>
      <c r="EG16" s="21">
        <f>100*Monatswerte!EG16/Erwerbspersonen!$D17</f>
        <v>3.7706527073450022</v>
      </c>
      <c r="EH16" s="21">
        <f>100*Monatswerte!EH16/Erwerbspersonen!$D17</f>
        <v>3.8524456077212497</v>
      </c>
      <c r="EI16" s="21">
        <f>100*Monatswerte!EI16/Erwerbspersonen!$D17</f>
        <v>3.8606248977588744</v>
      </c>
      <c r="EJ16" s="21">
        <f>100*Monatswerte!EJ16/Erwerbspersonen!$D17</f>
        <v>3.9097006379846229</v>
      </c>
      <c r="EK16" s="21">
        <f>100*Monatswerte!EK16/Erwerbspersonen!$D17</f>
        <v>3.9260592180598723</v>
      </c>
      <c r="EL16" s="21">
        <f>100*Monatswerte!EL16/Erwerbspersonen!$D17</f>
        <v>3.8933420579093734</v>
      </c>
      <c r="EM16" s="21">
        <f>100*Monatswerte!EM16/Erwerbspersonen!$D17</f>
        <v>3.9751349582856208</v>
      </c>
      <c r="EN16" s="21">
        <f>100*Monatswerte!EN16/Erwerbspersonen!$D17</f>
        <v>3.9669556682479961</v>
      </c>
      <c r="EO16" s="21">
        <f>100*Monatswerte!EO16/Erwerbspersonen!$D17</f>
        <v>4.0978243088499919</v>
      </c>
      <c r="EP16" s="21">
        <f>100*Monatswerte!EP16/Erwerbspersonen!$D17</f>
        <v>4.2205136594143626</v>
      </c>
      <c r="EQ16" s="25">
        <f>100*Monatswerte!EQ16/Erwerbspersonen!$D17</f>
        <v>4.3268444299034847</v>
      </c>
      <c r="ER16" s="21">
        <f>100*Monatswerte!ER16/Erwerbspersonen!$D17</f>
        <v>4.400458040242107</v>
      </c>
      <c r="ES16" s="21">
        <f>100*Monatswerte!ES16/Erwerbspersonen!$D17</f>
        <v>4.4986095206936039</v>
      </c>
      <c r="ET16" s="21">
        <f>100*Monatswerte!ET16/Erwerbspersonen!$D17</f>
        <v>4.6049402911827251</v>
      </c>
      <c r="EU16" s="21">
        <f>100*Monatswerte!EU16/Erwerbspersonen!$D17</f>
        <v>4.5395059708817271</v>
      </c>
      <c r="EV16" s="21">
        <f>100*Monatswerte!EV16/Erwerbspersonen!$D17</f>
        <v>4.4413544904302302</v>
      </c>
      <c r="EW16" s="21">
        <f>100*Monatswerte!EW16/Erwerbspersonen!$D17</f>
        <v>4.400458040242107</v>
      </c>
      <c r="EX16" s="21">
        <f>100*Monatswerte!EX16/Erwerbspersonen!$D17</f>
        <v>4.4331752003926059</v>
      </c>
      <c r="EY16" s="21">
        <f>100*Monatswerte!EY16/Erwerbspersonen!$D17</f>
        <v>4.4331752003926059</v>
      </c>
      <c r="EZ16" s="21">
        <f>100*Monatswerte!EZ16/Erwerbspersonen!$D17</f>
        <v>4.4658923605431049</v>
      </c>
      <c r="FA16" s="21">
        <f>100*Monatswerte!FA16/Erwerbspersonen!$D17</f>
        <v>4.6540160314084735</v>
      </c>
      <c r="FB16" s="27">
        <f>100*Monatswerte!FB16/Erwerbspersonen!$D17</f>
        <v>4.6867331915589725</v>
      </c>
      <c r="FC16" s="21">
        <f>100*Monatswerte!FC16/Erwerbspersonen!$E17</f>
        <v>4.0221323685890615</v>
      </c>
      <c r="FD16" s="21">
        <f>100*Monatswerte!FD16/Erwerbspersonen!$E17</f>
        <v>4.0079449528268425</v>
      </c>
      <c r="FE16" s="21">
        <f>100*Monatswerte!FE16/Erwerbspersonen!$E17</f>
        <v>3.9937575370646239</v>
      </c>
      <c r="FF16" s="21">
        <f>100*Monatswerte!FF16/Erwerbspersonen!$E17</f>
        <v>3.9157267503724196</v>
      </c>
      <c r="FG16" s="21">
        <f>100*Monatswerte!FG16/Erwerbspersonen!$E17</f>
        <v>4.0292260764701711</v>
      </c>
      <c r="FH16" s="21">
        <f>100*Monatswerte!FH16/Erwerbspersonen!$E17</f>
        <v>4.015038660707952</v>
      </c>
      <c r="FI16" s="21">
        <f>100*Monatswerte!FI16/Erwerbspersonen!$E17</f>
        <v>4.0717883237568273</v>
      </c>
      <c r="FJ16" s="21">
        <f>100*Monatswerte!FJ16/Erwerbspersonen!$E17</f>
        <v>4.0221323685890615</v>
      </c>
      <c r="FK16" s="21">
        <f>100*Monatswerte!FK16/Erwerbspersonen!$E17</f>
        <v>4.0292260764701711</v>
      </c>
      <c r="FL16" s="21">
        <f>100*Monatswerte!FL16/Erwerbspersonen!$E17</f>
        <v>4.0930694474001559</v>
      </c>
      <c r="FM16" s="21">
        <f>100*Monatswerte!FM16/Erwerbspersonen!$E17</f>
        <v>4.1994750656167978</v>
      </c>
      <c r="FN16" s="21">
        <f>100*Monatswerte!FN16/Erwerbspersonen!$E17</f>
        <v>4.2136624813790169</v>
      </c>
      <c r="FO16" s="25">
        <f>100*Monatswerte!FO16/Erwerbspersonen!$E17</f>
        <v>4.121444278924594</v>
      </c>
      <c r="FP16" s="21">
        <f>100*Monatswerte!FP16/Erwerbspersonen!$E17</f>
        <v>4.1001631552812654</v>
      </c>
      <c r="FQ16" s="21">
        <f>100*Monatswerte!FQ16/Erwerbspersonen!$E17</f>
        <v>4.1711002340923597</v>
      </c>
      <c r="FR16" s="21">
        <f>100*Monatswerte!FR16/Erwerbspersonen!$E17</f>
        <v>4.1781939419734693</v>
      </c>
      <c r="FS16" s="21">
        <f>100*Monatswerte!FS16/Erwerbspersonen!$E17</f>
        <v>4.121444278924594</v>
      </c>
      <c r="FT16" s="21">
        <f>100*Monatswerte!FT16/Erwerbspersonen!$E17</f>
        <v>3.9370078740157481</v>
      </c>
      <c r="FU16" s="21">
        <f>100*Monatswerte!FU16/Erwerbspersonen!$E17</f>
        <v>3.9086330424913101</v>
      </c>
      <c r="FV16" s="21">
        <f>100*Monatswerte!FV16/Erwerbspersonen!$E17</f>
        <v>3.9582889976590763</v>
      </c>
      <c r="FW16" s="21">
        <f>100*Monatswerte!FW16/Erwerbspersonen!$E17</f>
        <v>3.901539334610201</v>
      </c>
      <c r="FX16" s="21">
        <f>100*Monatswerte!FX16/Erwerbspersonen!$E17</f>
        <v>3.8873519188479819</v>
      </c>
      <c r="FY16" s="21">
        <f>100*Monatswerte!FY16/Erwerbspersonen!$E17</f>
        <v>3.8660707952046534</v>
      </c>
      <c r="FZ16" s="21">
        <f>100*Monatswerte!FZ16/Erwerbspersonen!$E17</f>
        <v>3.9299141661346386</v>
      </c>
      <c r="GA16" s="25">
        <f>100*Monatswerte!GA16/Erwerbspersonen!$E17</f>
        <v>3.9157267503724196</v>
      </c>
      <c r="GB16" s="21">
        <f>100*Monatswerte!GB16/Erwerbspersonen!$E17</f>
        <v>3.8093211321557776</v>
      </c>
      <c r="GC16" s="21">
        <f>100*Monatswerte!GC16/Erwerbspersonen!$E17</f>
        <v>3.7312903454635737</v>
      </c>
      <c r="GD16" s="21">
        <f>100*Monatswerte!GD16/Erwerbspersonen!$E17</f>
        <v>3.8164148400368871</v>
      </c>
      <c r="GE16" s="21">
        <f>100*Monatswerte!GE16/Erwerbspersonen!$E17</f>
        <v>3.6461658508902604</v>
      </c>
      <c r="GF16" s="21">
        <f>100*Monatswerte!GF16/Erwerbspersonen!$E17</f>
        <v>3.7241966375824642</v>
      </c>
      <c r="GG16" s="21">
        <f>100*Monatswerte!GG16/Erwerbspersonen!$E17</f>
        <v>3.7596651769880118</v>
      </c>
      <c r="GH16" s="21">
        <f>100*Monatswerte!GH16/Erwerbspersonen!$E17</f>
        <v>3.6674469745335889</v>
      </c>
      <c r="GI16" s="21">
        <f>100*Monatswerte!GI16/Erwerbspersonen!$E17</f>
        <v>3.8022274242746685</v>
      </c>
      <c r="GJ16" s="21">
        <f>100*Monatswerte!GJ16/Erwerbspersonen!$E17</f>
        <v>3.8376959636802157</v>
      </c>
      <c r="GK16" s="21">
        <f>100*Monatswerte!GK16/Erwerbspersonen!$E17</f>
        <v>3.9511952897779667</v>
      </c>
      <c r="GL16" s="21">
        <f>100*Monatswerte!GL16/Erwerbspersonen!$E17</f>
        <v>3.9582889976590763</v>
      </c>
      <c r="GM16" s="25">
        <f>100*Monatswerte!GM16/Erwerbspersonen!$F17</f>
        <v>3.696850461231469</v>
      </c>
      <c r="GN16" s="21">
        <f>100*Monatswerte!GN16/Erwerbspersonen!$F17</f>
        <v>3.6375426998213385</v>
      </c>
      <c r="GO16" s="21">
        <f>100*Monatswerte!GO16/Erwerbspersonen!$F17</f>
        <v>3.9274917556041986</v>
      </c>
      <c r="GP16" s="21">
        <f>100*Monatswerte!GP16/Erwerbspersonen!$F17</f>
        <v>4.0263380246210829</v>
      </c>
      <c r="GQ16" s="21">
        <f>100*Monatswerte!GQ16/Erwerbspersonen!$F17</f>
        <v>4.197671557583682</v>
      </c>
      <c r="GR16" s="21">
        <f>100*Monatswerte!GR16/Erwerbspersonen!$F17</f>
        <v>4.4414923544919969</v>
      </c>
      <c r="GS16" s="21">
        <f>100*Monatswerte!GS16/Erwerbspersonen!$F17</f>
        <v>4.5732873798478417</v>
      </c>
      <c r="GT16" s="21">
        <f>100*Monatswerte!GT16/Erwerbspersonen!$F17</f>
        <v>4.5732873798478417</v>
      </c>
      <c r="GU16" s="21">
        <f>100*Monatswerte!GU16/Erwerbspersonen!$F17</f>
        <v>4.7841594204171951</v>
      </c>
      <c r="GV16" s="21">
        <f>100*Monatswerte!GV16/Erwerbspersonen!$F17</f>
        <v>4.8830056894340794</v>
      </c>
      <c r="GW16" s="21">
        <f>100*Monatswerte!GW16/Erwerbspersonen!$F17</f>
        <v>5.0345699685933019</v>
      </c>
      <c r="GX16" s="27">
        <f>100*Monatswerte!GX16/Erwerbspersonen!$F17</f>
        <v>5.1400059888779781</v>
      </c>
      <c r="GY16" s="21">
        <f>100*Monatswerte!GY16/Erwerbspersonen!$F17</f>
        <v>5.1268264863423934</v>
      </c>
      <c r="GZ16" s="21">
        <f>100*Monatswerte!GZ16/Erwerbspersonen!$F17</f>
        <v>5.2388522578948624</v>
      </c>
      <c r="HA16" s="21">
        <f>100*Monatswerte!HA16/Erwerbspersonen!$F17</f>
        <v>5.324519024376162</v>
      </c>
      <c r="HB16" s="21">
        <f>100*Monatswerte!HB16/Erwerbspersonen!$F17</f>
        <v>5.4101857908574615</v>
      </c>
      <c r="HC16" s="21">
        <f>100*Monatswerte!HC16/Erwerbspersonen!$F17</f>
        <v>5.443134547196423</v>
      </c>
      <c r="HD16" s="21">
        <f>100*Monatswerte!HD16/Erwerbspersonen!$F17</f>
        <v>5.4563140497320077</v>
      </c>
      <c r="HE16" s="21">
        <f>100*Monatswerte!HE16/Erwerbspersonen!$F17</f>
        <v>5.3442882781795387</v>
      </c>
      <c r="HF16" s="21">
        <f>100*Monatswerte!HF16/Erwerbspersonen!$F17</f>
        <v>5.2256727553592777</v>
      </c>
      <c r="HG16" s="21">
        <f>100*Monatswerte!HG16/Erwerbspersonen!$F17</f>
        <v>5.2256727553592777</v>
      </c>
      <c r="HH16" s="21">
        <f>100*Monatswerte!HH16/Erwerbspersonen!$F17</f>
        <v>5.2454420091626544</v>
      </c>
      <c r="HI16" s="21">
        <f>100*Monatswerte!HI16/Erwerbspersonen!$F17</f>
        <v>5.2915702680372005</v>
      </c>
      <c r="HJ16" s="21">
        <f>100*Monatswerte!HJ16/Erwerbspersonen!$F17</f>
        <v>5.3113395218405772</v>
      </c>
      <c r="HK16" s="60">
        <f>100*Monatswerte!HK16/Erwerbspersonen!$F17</f>
        <v>5.2322625066270705</v>
      </c>
      <c r="HL16" s="3">
        <f>100*Monatswerte!HL16/Erwerbspersonen!$F17</f>
        <v>5.1663649939491476</v>
      </c>
      <c r="HM16" s="3">
        <f>100*Monatswerte!HM16/Erwerbspersonen!$F17</f>
        <v>5.1334162376101862</v>
      </c>
      <c r="HN16" s="3">
        <f>100*Monatswerte!HN16/Erwerbspersonen!$F17</f>
        <v>5.0016212122543404</v>
      </c>
      <c r="HO16" s="3">
        <f>100*Monatswerte!HO16/Erwerbspersonen!$F17</f>
        <v>4.8698261868984947</v>
      </c>
      <c r="HP16" s="3">
        <f>100*Monatswerte!HP16/Erwerbspersonen!$F17</f>
        <v>4.8236979280239485</v>
      </c>
      <c r="HQ16" s="3">
        <f>100*Monatswerte!HQ16/Erwerbspersonen!$F17</f>
        <v>4.7446209128104417</v>
      </c>
      <c r="HR16" s="3">
        <f>100*Monatswerte!HR16/Erwerbspersonen!$F17</f>
        <v>4.6523643950613494</v>
      </c>
      <c r="HS16" s="3">
        <f>100*Monatswerte!HS16/Erwerbspersonen!$F17</f>
        <v>4.5864668823834265</v>
      </c>
      <c r="HT16" s="3">
        <f>100*Monatswerte!HT16/Erwerbspersonen!$F17</f>
        <v>4.6194156387223879</v>
      </c>
      <c r="HU16" s="3">
        <f>100*Monatswerte!HU16/Erwerbspersonen!$F17</f>
        <v>4.6391848925257646</v>
      </c>
      <c r="HV16" s="64">
        <f>100*Monatswerte!HV16/Erwerbspersonen!$F17</f>
        <v>4.3624153392784892</v>
      </c>
      <c r="HW16" s="3">
        <f>100*[5]Monatswerte!HW16/[5]Erwerbspersonen!$F17</f>
        <v>4.3492358367429045</v>
      </c>
      <c r="HX16" s="3">
        <f>100*[5]Monatswerte!HX16/[5]Erwerbspersonen!$F17</f>
        <v>4.4019538468852426</v>
      </c>
      <c r="HY16" s="3">
        <f>100*[5]Monatswerte!HY16/[5]Erwerbspersonen!$F17</f>
        <v>4.3887743443496587</v>
      </c>
      <c r="HZ16" s="3">
        <f>100*[5]Monatswerte!HZ16/[5]Erwerbspersonen!$F17</f>
        <v>4.2437998164582282</v>
      </c>
      <c r="IA16" s="3">
        <f>100*[5]Monatswerte!IA16/[5]Erwerbspersonen!$F17</f>
        <v>4.2042613088514749</v>
      </c>
      <c r="IB16" s="3">
        <f>100*[5]Monatswerte!IB16/[5]Erwerbspersonen!$F17</f>
        <v>4.0395175271566677</v>
      </c>
      <c r="IC16" s="3">
        <f>100*[5]Monatswerte!IC16/[5]Erwerbspersonen!$F17</f>
        <v>4.0724662834956291</v>
      </c>
      <c r="ID16" s="3">
        <f>100*[5]Monatswerte!ID16/[5]Erwerbspersonen!$F17</f>
        <v>4.0329277758888749</v>
      </c>
      <c r="IE16" s="3">
        <f>100*[5]Monatswerte!IE16/[5]Erwerbspersonen!$F17</f>
        <v>3.9011327505330295</v>
      </c>
      <c r="IF16" s="3">
        <f>100*[5]Monatswerte!IF16/[5]Erwerbspersonen!$F17</f>
        <v>3.9209020043364062</v>
      </c>
      <c r="IG16" s="3">
        <f>100*[5]Monatswerte!IG16/[5]Erwerbspersonen!$F17</f>
        <v>3.9209020043364062</v>
      </c>
      <c r="IH16" s="3">
        <f>100*[5]Monatswerte!IH16/[5]Erwerbspersonen!$F17</f>
        <v>3.8945429992652372</v>
      </c>
      <c r="II16" s="60">
        <f>100*[6]Monatswerte!II16/[6]Erwerbspersonen!$G17</f>
        <v>3.6122569239835003</v>
      </c>
      <c r="IJ16" s="3">
        <f>100*[6]Monatswerte!IJ16/[6]Erwerbspersonen!$G17</f>
        <v>3.6711844431349441</v>
      </c>
      <c r="IK16" s="3">
        <f>100*[6]Monatswerte!IK16/[6]Erwerbspersonen!$G17</f>
        <v>3.7713612256923983</v>
      </c>
      <c r="IL16" s="3">
        <f>100*[6]Monatswerte!IL16/[6]Erwerbspersonen!$G17</f>
        <v>3.783146729522687</v>
      </c>
      <c r="IM16" s="3">
        <f>100*[6]Monatswerte!IM16/[6]Erwerbspersonen!$G17</f>
        <v>3.9599292869770184</v>
      </c>
      <c r="IN16" s="3">
        <f>100*[6]Monatswerte!IN16/[6]Erwerbspersonen!$G17</f>
        <v>3.89510901591043</v>
      </c>
      <c r="IO16" s="3">
        <f>100*[6]Monatswerte!IO16/[6]Erwerbspersonen!$G17</f>
        <v>3.89510901591043</v>
      </c>
      <c r="IP16" s="3">
        <f>100*[6]Monatswerte!IP16/[6]Erwerbspersonen!$G17</f>
        <v>3.9186800235710075</v>
      </c>
      <c r="IQ16" s="3">
        <f>100*[6]Monatswerte!IQ16/[6]Erwerbspersonen!$G17</f>
        <v>4.0424278137890397</v>
      </c>
      <c r="IR16" s="3">
        <f>100*[6]Monatswerte!IR16/[6]Erwerbspersonen!$G17</f>
        <v>4.1543901001767827</v>
      </c>
      <c r="IS16" s="3">
        <f>100*[6]Monatswerte!IS16/[6]Erwerbspersonen!$G17</f>
        <v>4.2663523865645256</v>
      </c>
      <c r="IT16" s="3">
        <f>100*[6]Monatswerte!IT16/[6]Erwerbspersonen!$G17</f>
        <v>4.3665291691219803</v>
      </c>
      <c r="IU16" s="60">
        <f>100*[7]Monatswerte!IU16/[7]Erwerbspersonen!$G17</f>
        <v>4.4961697112551562</v>
      </c>
      <c r="IV16" s="3">
        <f>100*[7]Monatswerte!IV16/[7]Erwerbspersonen!$G17</f>
        <v>4.5845609899823216</v>
      </c>
      <c r="IW16" s="3">
        <f>100*[7]Monatswerte!IW16/[7]Erwerbspersonen!$G17</f>
        <v>4.6552740129640542</v>
      </c>
      <c r="IX16" s="3">
        <f>100*[7]Monatswerte!IX16/[7]Erwerbspersonen!$G17</f>
        <v>4.7554507955215088</v>
      </c>
      <c r="IY16" s="3">
        <f>100*[7]Monatswerte!IY16/[7]Erwerbspersonen!$G17</f>
        <v>4.7967000589275193</v>
      </c>
      <c r="IZ16" s="3">
        <f>100*[7]Monatswerte!IZ16/[7]Erwerbspersonen!$G17</f>
        <v>4.7967000589275193</v>
      </c>
      <c r="JA16" s="3">
        <f>100*[7]Monatswerte!JA16/[7]Erwerbspersonen!$G17</f>
        <v>4.9734826163818502</v>
      </c>
      <c r="JB16" s="3">
        <f>100*[7]Monatswerte!JB16/[7]Erwerbspersonen!$G17</f>
        <v>4.9970536240424277</v>
      </c>
      <c r="JC16" s="3">
        <f>100*[7]Monatswerte!JC16/[7]Erwerbspersonen!$G17</f>
        <v>5.0383028874484381</v>
      </c>
      <c r="JD16" s="3">
        <f>100*[7]Monatswerte!JD16/[7]Erwerbspersonen!$G17</f>
        <v>5.2563347083087804</v>
      </c>
      <c r="JE16" s="3">
        <f>100*[7]Monatswerte!JE16/[7]Erwerbspersonen!$G17</f>
        <v>5.2916912197996462</v>
      </c>
      <c r="JF16" s="3">
        <f>100*[7]Monatswerte!JF16/[7]Erwerbspersonen!$G17</f>
        <v>5.2740129640542133</v>
      </c>
      <c r="JG16" s="60">
        <f>100*[7]Monatswerte!JG16/[7]Erwerbspersonen!$G17</f>
        <v>5.2504419563936358</v>
      </c>
      <c r="JH16" s="3">
        <f>100*[7]Monatswerte!JH16/[7]Erwerbspersonen!$G17</f>
        <v>5.2091926929876253</v>
      </c>
      <c r="JI16" s="3">
        <f>100*[7]Monatswerte!JI16/[7]Erwerbspersonen!$G17</f>
        <v>5.2445492044784912</v>
      </c>
    </row>
    <row r="17" spans="1:269" s="1" customFormat="1" x14ac:dyDescent="0.2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7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7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7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7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7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7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7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7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7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7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5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5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7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5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5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5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7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60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64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60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60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60"/>
    </row>
    <row r="18" spans="1:269" s="1" customFormat="1" ht="14.25" x14ac:dyDescent="0.25">
      <c r="A18" s="5" t="s">
        <v>29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7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7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7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7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7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7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7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7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7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7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5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5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7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5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5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5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7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60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64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60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60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60"/>
    </row>
    <row r="19" spans="1:269" s="1" customFormat="1" x14ac:dyDescent="0.2">
      <c r="A19" s="1" t="s">
        <v>30</v>
      </c>
      <c r="B19" s="1">
        <v>14</v>
      </c>
      <c r="C19" s="21">
        <f>100*Monatswerte!C19/Erwerbspersonen!$B20</f>
        <v>4.56031484913479</v>
      </c>
      <c r="D19" s="21">
        <f>100*Monatswerte!D19/Erwerbspersonen!$B20</f>
        <v>4.3729046498552773</v>
      </c>
      <c r="E19" s="21">
        <f>100*Monatswerte!E19/Erwerbspersonen!$B20</f>
        <v>4.2271411615267684</v>
      </c>
      <c r="F19" s="21">
        <f>100*Monatswerte!F19/Erwerbspersonen!$B20</f>
        <v>3.8814734606334467</v>
      </c>
      <c r="G19" s="21">
        <f>100*Monatswerte!G19/Erwerbspersonen!$B20</f>
        <v>3.7336276367573871</v>
      </c>
      <c r="H19" s="21">
        <f>100*Monatswerte!H19/Erwerbspersonen!$B20</f>
        <v>3.6232638527372303</v>
      </c>
      <c r="I19" s="21">
        <f>100*Monatswerte!I19/Erwerbspersonen!$B20</f>
        <v>3.6274285238323305</v>
      </c>
      <c r="J19" s="21">
        <f>100*Monatswerte!J19/Erwerbspersonen!$B20</f>
        <v>3.7065572746392355</v>
      </c>
      <c r="K19" s="21">
        <f>100*Monatswerte!K19/Erwerbspersonen!$B20</f>
        <v>3.5316410886450242</v>
      </c>
      <c r="L19" s="21">
        <f>100*Monatswerte!L19/Erwerbspersonen!$B20</f>
        <v>3.4254419757199677</v>
      </c>
      <c r="M19" s="21">
        <f>100*Monatswerte!M19/Erwerbspersonen!$B20</f>
        <v>3.62118151718968</v>
      </c>
      <c r="N19" s="27">
        <f>100*Monatswerte!N19/Erwerbspersonen!$B20</f>
        <v>3.8648147762530454</v>
      </c>
      <c r="O19" s="21">
        <f>100*Monatswerte!O19/Erwerbspersonen!$B20</f>
        <v>3.7669450055181892</v>
      </c>
      <c r="P19" s="21">
        <f>100*Monatswerte!P19/Erwerbspersonen!$B20</f>
        <v>3.8335797430397935</v>
      </c>
      <c r="Q19" s="21">
        <f>100*Monatswerte!Q19/Erwerbspersonen!$B20</f>
        <v>3.6628282281406825</v>
      </c>
      <c r="R19" s="21">
        <f>100*Monatswerte!R19/Erwerbspersonen!$B20</f>
        <v>3.5482997730254251</v>
      </c>
      <c r="S19" s="21">
        <f>100*Monatswerte!S19/Erwerbspersonen!$B20</f>
        <v>3.4483476667430191</v>
      </c>
      <c r="T19" s="21">
        <f>100*Monatswerte!T19/Erwerbspersonen!$B20</f>
        <v>3.2755138162963582</v>
      </c>
      <c r="U19" s="21">
        <f>100*Monatswerte!U19/Erwerbspersonen!$B20</f>
        <v>3.3588072381983634</v>
      </c>
      <c r="V19" s="21">
        <f>100*Monatswerte!V19/Erwerbspersonen!$B20</f>
        <v>3.3525602315557128</v>
      </c>
      <c r="W19" s="21">
        <f>100*Monatswerte!W19/Erwerbspersonen!$B20</f>
        <v>3.3879599358640653</v>
      </c>
      <c r="X19" s="21">
        <f>100*Monatswerte!X19/Erwerbspersonen!$B20</f>
        <v>3.3046665139620597</v>
      </c>
      <c r="Y19" s="21">
        <f>100*Monatswerte!Y19/Erwerbspersonen!$B20</f>
        <v>3.3192428627949107</v>
      </c>
      <c r="Z19" s="27">
        <f>100*Monatswerte!Z19/Erwerbspersonen!$B20</f>
        <v>3.3608895737459132</v>
      </c>
      <c r="AA19" s="21">
        <f>100*Monatswerte!AA19/Erwerbspersonen!$B20</f>
        <v>3.3775482581263145</v>
      </c>
      <c r="AB19" s="21">
        <f>100*Monatswerte!AB19/Erwerbspersonen!$B20</f>
        <v>3.2692668096537076</v>
      </c>
      <c r="AC19" s="21">
        <f>100*Monatswerte!AC19/Erwerbspersonen!$B20</f>
        <v>3.1922203943943526</v>
      </c>
      <c r="AD19" s="21">
        <f>100*Monatswerte!AD19/Erwerbspersonen!$B20</f>
        <v>3.0568685838035941</v>
      </c>
      <c r="AE19" s="21">
        <f>100*Monatswerte!AE19/Erwerbspersonen!$B20</f>
        <v>2.9964808529246403</v>
      </c>
      <c r="AF19" s="21">
        <f>100*Monatswerte!AF19/Erwerbspersonen!$B20</f>
        <v>2.8527997001436813</v>
      </c>
      <c r="AG19" s="21">
        <f>100*Monatswerte!AG19/Erwerbspersonen!$B20</f>
        <v>2.9839868396393396</v>
      </c>
      <c r="AH19" s="21">
        <f>100*Monatswerte!AH19/Erwerbspersonen!$B20</f>
        <v>2.8527997001436813</v>
      </c>
      <c r="AI19" s="21">
        <f>100*Monatswerte!AI19/Erwerbspersonen!$B20</f>
        <v>2.9131874310226351</v>
      </c>
      <c r="AJ19" s="21">
        <f>100*Monatswerte!AJ19/Erwerbspersonen!$B20</f>
        <v>2.8049059825500282</v>
      </c>
      <c r="AK19" s="21">
        <f>100*Monatswerte!AK19/Erwerbspersonen!$B20</f>
        <v>2.786164962622077</v>
      </c>
      <c r="AL19" s="27">
        <f>100*Monatswerte!AL19/Erwerbspersonen!$B20</f>
        <v>2.9485871353309872</v>
      </c>
      <c r="AM19" s="21">
        <f>100*Monatswerte!AM19/Erwerbspersonen!$B20</f>
        <v>2.929846115403036</v>
      </c>
      <c r="AN19" s="21">
        <f>100*Monatswerte!AN19/Erwerbspersonen!$B20</f>
        <v>2.7903296337171772</v>
      </c>
      <c r="AO19" s="21">
        <f>100*Monatswerte!AO19/Erwerbspersonen!$B20</f>
        <v>2.6820481852445703</v>
      </c>
      <c r="AP19" s="21">
        <f>100*Monatswerte!AP19/Erwerbspersonen!$B20</f>
        <v>2.5612727234866628</v>
      </c>
      <c r="AQ19" s="21">
        <f>100*Monatswerte!AQ19/Erwerbspersonen!$B20</f>
        <v>2.5446140391062615</v>
      </c>
      <c r="AR19" s="21">
        <f>100*Monatswerte!AR19/Erwerbspersonen!$B20</f>
        <v>2.409262228515503</v>
      </c>
      <c r="AS19" s="21">
        <f>100*Monatswerte!AS19/Erwerbspersonen!$B20</f>
        <v>2.473814630489557</v>
      </c>
      <c r="AT19" s="21">
        <f>100*Monatswerte!AT19/Erwerbspersonen!$B20</f>
        <v>2.4946379859650585</v>
      </c>
      <c r="AU19" s="21">
        <f>100*Monatswerte!AU19/Erwerbspersonen!$B20</f>
        <v>2.4488266039189557</v>
      </c>
      <c r="AV19" s="21">
        <f>100*Monatswerte!AV19/Erwerbspersonen!$B20</f>
        <v>2.409262228515503</v>
      </c>
      <c r="AW19" s="21">
        <f>100*Monatswerte!AW19/Erwerbspersonen!$B20</f>
        <v>2.4404972617287548</v>
      </c>
      <c r="AX19" s="27">
        <f>100*Monatswerte!AX19/Erwerbspersonen!$B20</f>
        <v>2.5217083480832101</v>
      </c>
      <c r="AY19" s="21">
        <f>100*Monatswerte!AY19/Erwerbspersonen!$C20</f>
        <v>2.394991069199301</v>
      </c>
      <c r="AZ19" s="21">
        <f>100*Monatswerte!AZ19/Erwerbspersonen!$C20</f>
        <v>2.2528664989340657</v>
      </c>
      <c r="BA19" s="21">
        <f>100*Monatswerte!BA19/Erwerbspersonen!$C20</f>
        <v>2.1529951792882249</v>
      </c>
      <c r="BB19" s="21">
        <f>100*Monatswerte!BB19/Erwerbspersonen!$C20</f>
        <v>2.2336604759252503</v>
      </c>
      <c r="BC19" s="21">
        <f>100*Monatswerte!BC19/Erwerbspersonen!$C20</f>
        <v>1.9590143468991876</v>
      </c>
      <c r="BD19" s="21">
        <f>100*Monatswerte!BD19/Erwerbspersonen!$C20</f>
        <v>1.8553018226515836</v>
      </c>
      <c r="BE19" s="21">
        <f>100*Monatswerte!BE19/Erwerbspersonen!$C20</f>
        <v>1.9724585630053584</v>
      </c>
      <c r="BF19" s="21">
        <f>100*Monatswerte!BF19/Erwerbspersonen!$C20</f>
        <v>2.0089500067221082</v>
      </c>
      <c r="BG19" s="21">
        <f>100*Monatswerte!BG19/Erwerbspersonen!$C20</f>
        <v>2.0435208481379759</v>
      </c>
      <c r="BH19" s="21">
        <f>100*Monatswerte!BH19/Erwerbspersonen!$C20</f>
        <v>2.0550444619432655</v>
      </c>
      <c r="BI19" s="21">
        <f>100*Monatswerte!BI19/Erwerbspersonen!$C20</f>
        <v>2.3930704668984193</v>
      </c>
      <c r="BJ19" s="27">
        <f>100*Monatswerte!BJ19/Erwerbspersonen!$C20</f>
        <v>2.7291758695526918</v>
      </c>
      <c r="BK19" s="21">
        <f>100*Monatswerte!BK19/Erwerbspersonen!$C20</f>
        <v>3.0633606699060825</v>
      </c>
      <c r="BL19" s="21">
        <f>100*Monatswerte!BL19/Erwerbspersonen!$C20</f>
        <v>3.2381354792863042</v>
      </c>
      <c r="BM19" s="21">
        <f>100*Monatswerte!BM19/Erwerbspersonen!$C20</f>
        <v>3.3668158334453686</v>
      </c>
      <c r="BN19" s="21">
        <f>100*Monatswerte!BN19/Erwerbspersonen!$C20</f>
        <v>3.4225133001709338</v>
      </c>
      <c r="BO19" s="21">
        <f>100*Monatswerte!BO19/Erwerbspersonen!$C20</f>
        <v>3.4436399254806309</v>
      </c>
      <c r="BP19" s="21">
        <f>100*Monatswerte!BP19/Erwerbspersonen!$C20</f>
        <v>3.6760328038872991</v>
      </c>
      <c r="BQ19" s="21">
        <f>100*Monatswerte!BQ19/Erwerbspersonen!$C20</f>
        <v>3.9391553191080724</v>
      </c>
      <c r="BR19" s="21">
        <f>100*Monatswerte!BR19/Erwerbspersonen!$C20</f>
        <v>4.0044557973380455</v>
      </c>
      <c r="BS19" s="21">
        <f>100*Monatswerte!BS19/Erwerbspersonen!$C20</f>
        <v>3.9948527858336376</v>
      </c>
      <c r="BT19" s="21">
        <f>100*Monatswerte!BT19/Erwerbspersonen!$C20</f>
        <v>4.1792306067182672</v>
      </c>
      <c r="BU19" s="21">
        <f>100*Monatswerte!BU19/Erwerbspersonen!$C20</f>
        <v>4.375132041408186</v>
      </c>
      <c r="BV19" s="27">
        <f>100*Monatswerte!BV19/Erwerbspersonen!$C20</f>
        <v>4.741967080876563</v>
      </c>
      <c r="BW19" s="21">
        <f>100*Monatswerte!BW19/Erwerbspersonen!$C20</f>
        <v>4.6613017842395372</v>
      </c>
      <c r="BX19" s="21">
        <f>100*Monatswerte!BX19/Erwerbspersonen!$C20</f>
        <v>4.4250677012311064</v>
      </c>
      <c r="BY19" s="21">
        <f>100*Monatswerte!BY19/Erwerbspersonen!$C20</f>
        <v>4.1561833791076879</v>
      </c>
      <c r="BZ19" s="21">
        <f>100*Monatswerte!BZ19/Erwerbspersonen!$C20</f>
        <v>3.9737261605239405</v>
      </c>
      <c r="CA19" s="21">
        <f>100*Monatswerte!CA19/Erwerbspersonen!$C20</f>
        <v>3.7048418384005224</v>
      </c>
      <c r="CB19" s="21">
        <f>100*Monatswerte!CB19/Erwerbspersonen!$C20</f>
        <v>3.4993373922061957</v>
      </c>
      <c r="CC19" s="21">
        <f>100*Monatswerte!CC19/Erwerbspersonen!$C20</f>
        <v>3.4071484817638811</v>
      </c>
      <c r="CD19" s="21">
        <f>100*Monatswerte!CD19/Erwerbspersonen!$C20</f>
        <v>3.3610540265427238</v>
      </c>
      <c r="CE19" s="21">
        <f>100*Monatswerte!CE19/Erwerbspersonen!$C20</f>
        <v>2.9711717594637679</v>
      </c>
      <c r="CF19" s="21">
        <f>100*Monatswerte!CF19/Erwerbspersonen!$C20</f>
        <v>3.0249486238884513</v>
      </c>
      <c r="CG19" s="21">
        <f>100*Monatswerte!CG19/Erwerbspersonen!$C20</f>
        <v>2.9231567019417288</v>
      </c>
      <c r="CH19" s="27">
        <f>100*Monatswerte!CH19/Erwerbspersonen!$C20</f>
        <v>3.0460752491981484</v>
      </c>
      <c r="CI19" s="21">
        <f>100*Monatswerte!CI19/Erwerbspersonen!$C20</f>
        <v>2.9961395893752281</v>
      </c>
      <c r="CJ19" s="21">
        <f>100*Monatswerte!CJ19/Erwerbspersonen!$C20</f>
        <v>2.8770622467205715</v>
      </c>
      <c r="CK19" s="21">
        <f>100*Monatswerte!CK19/Erwerbspersonen!$C20</f>
        <v>2.7214934603491656</v>
      </c>
      <c r="CL19" s="21">
        <f>100*Monatswerte!CL19/Erwerbspersonen!$C20</f>
        <v>2.4910211842433787</v>
      </c>
      <c r="CM19" s="21">
        <f>100*Monatswerte!CM19/Erwerbspersonen!$C20</f>
        <v>2.1722012022970403</v>
      </c>
      <c r="CN19" s="21">
        <f>100*Monatswerte!CN19/Erwerbspersonen!$C20</f>
        <v>2.143392167783817</v>
      </c>
      <c r="CO19" s="21">
        <f>100*Monatswerte!CO19/Erwerbspersonen!$C20</f>
        <v>2.2182956575181976</v>
      </c>
      <c r="CP19" s="21">
        <f>100*Monatswerte!CP19/Erwerbspersonen!$C20</f>
        <v>2.506386002650431</v>
      </c>
      <c r="CQ19" s="21">
        <f>100*Monatswerte!CQ19/Erwerbspersonen!$C20</f>
        <v>2.4622121497301555</v>
      </c>
      <c r="CR19" s="21">
        <f>100*Monatswerte!CR19/Erwerbspersonen!$C20</f>
        <v>2.4526091382257476</v>
      </c>
      <c r="CS19" s="21">
        <f>100*Monatswerte!CS19/Erwerbspersonen!$C20</f>
        <v>2.5582422647742331</v>
      </c>
      <c r="CT19" s="27">
        <f>100*Monatswerte!CT19/Erwerbspersonen!$C20</f>
        <v>2.7522230971632702</v>
      </c>
      <c r="CU19" s="21">
        <f>100*Monatswerte!CU19/Erwerbspersonen!$C20</f>
        <v>2.7330170741544548</v>
      </c>
      <c r="CV19" s="21">
        <f>100*Monatswerte!CV19/Erwerbspersonen!$C20</f>
        <v>2.7042080396412316</v>
      </c>
      <c r="CW19" s="21">
        <f>100*Monatswerte!CW19/Erwerbspersonen!$C20</f>
        <v>2.523671423358365</v>
      </c>
      <c r="CX19" s="21">
        <f>100*Monatswerte!CX19/Erwerbspersonen!$C20</f>
        <v>2.4314825129160504</v>
      </c>
      <c r="CY19" s="21">
        <f>100*Monatswerte!CY19/Erwerbspersonen!$C20</f>
        <v>2.3508172162790251</v>
      </c>
      <c r="CZ19" s="21">
        <f>100*Monatswerte!CZ19/Erwerbspersonen!$C20</f>
        <v>2.3220081817658018</v>
      </c>
      <c r="DA19" s="21">
        <f>100*Monatswerte!DA19/Erwerbspersonen!$C20</f>
        <v>2.4391649221195766</v>
      </c>
      <c r="DB19" s="21">
        <f>100*Monatswerte!DB19/Erwerbspersonen!$C20</f>
        <v>2.5947337084909829</v>
      </c>
      <c r="DC19" s="21">
        <f>100*Monatswerte!DC19/Erwerbspersonen!$C20</f>
        <v>2.5217508210574837</v>
      </c>
      <c r="DD19" s="21">
        <f>100*Monatswerte!DD19/Erwerbspersonen!$C20</f>
        <v>2.5716864808804041</v>
      </c>
      <c r="DE19" s="21">
        <f>100*Monatswerte!DE19/Erwerbspersonen!$C20</f>
        <v>2.8866652582249794</v>
      </c>
      <c r="DF19" s="27">
        <f>100*Monatswerte!DF19/Erwerbspersonen!$C20</f>
        <v>3.0940903067201875</v>
      </c>
      <c r="DG19" s="21">
        <f>100*Monatswerte!DG19/Erwerbspersonen!$C20</f>
        <v>3.1632319895519236</v>
      </c>
      <c r="DH19" s="21">
        <f>100*Monatswerte!DH19/Erwerbspersonen!$C20</f>
        <v>3.1747556033572129</v>
      </c>
      <c r="DI19" s="21">
        <f>100*Monatswerte!DI19/Erwerbspersonen!$C20</f>
        <v>3.0787254883131352</v>
      </c>
      <c r="DJ19" s="21">
        <f>100*Monatswerte!DJ19/Erwerbspersonen!$C20</f>
        <v>2.930839111145255</v>
      </c>
      <c r="DK19" s="21">
        <f>100*Monatswerte!DK19/Erwerbspersonen!$C20</f>
        <v>2.8290471891985325</v>
      </c>
      <c r="DL19" s="21">
        <f>100*Monatswerte!DL19/Erwerbspersonen!$C20</f>
        <v>2.6657959936236004</v>
      </c>
      <c r="DM19" s="21">
        <f>100*Monatswerte!DM19/Erwerbspersonen!$C20</f>
        <v>2.6830814143315345</v>
      </c>
      <c r="DN19" s="21">
        <f>100*Monatswerte!DN19/Erwerbspersonen!$C20</f>
        <v>2.612019129198917</v>
      </c>
      <c r="DO19" s="21">
        <f>100*Monatswerte!DO19/Erwerbspersonen!$C20</f>
        <v>2.5294332302610099</v>
      </c>
      <c r="DP19" s="21">
        <f>100*Monatswerte!DP19/Erwerbspersonen!$C20</f>
        <v>2.5908925038892199</v>
      </c>
      <c r="DQ19" s="21">
        <f>100*Monatswerte!DQ19/Erwerbspersonen!$C20</f>
        <v>2.740699483357981</v>
      </c>
      <c r="DR19" s="27">
        <f>100*Monatswerte!DR19/Erwerbspersonen!$C20</f>
        <v>2.9327597134461367</v>
      </c>
      <c r="DS19" s="21">
        <f>100*Monatswerte!DS19/Erwerbspersonen!$D20</f>
        <v>2.8276040806583755</v>
      </c>
      <c r="DT19" s="21">
        <f>100*Monatswerte!DT19/Erwerbspersonen!$D20</f>
        <v>2.7859938533844733</v>
      </c>
      <c r="DU19" s="21">
        <f>100*Monatswerte!DU19/Erwerbspersonen!$D20</f>
        <v>2.6346839360248278</v>
      </c>
      <c r="DV19" s="21">
        <f>100*Monatswerte!DV19/Erwerbspersonen!$D20</f>
        <v>2.5438979856090405</v>
      </c>
      <c r="DW19" s="21">
        <f>100*Monatswerte!DW19/Erwerbspersonen!$D20</f>
        <v>2.4190673037873327</v>
      </c>
      <c r="DX19" s="21">
        <f>100*Monatswerte!DX19/Erwerbspersonen!$D20</f>
        <v>2.3982621901503816</v>
      </c>
      <c r="DY19" s="21">
        <f>100*Monatswerte!DY19/Erwerbspersonen!$D20</f>
        <v>2.4871567665991732</v>
      </c>
      <c r="DZ19" s="21">
        <f>100*Monatswerte!DZ19/Erwerbspersonen!$D20</f>
        <v>2.4058276860183638</v>
      </c>
      <c r="EA19" s="21">
        <f>100*Monatswerte!EA19/Erwerbspersonen!$D20</f>
        <v>2.2885625000646383</v>
      </c>
      <c r="EB19" s="21">
        <f>100*Monatswerte!EB19/Erwerbspersonen!$D20</f>
        <v>2.2677573864276872</v>
      </c>
      <c r="EC19" s="21">
        <f>100*Monatswerte!EC19/Erwerbspersonen!$D20</f>
        <v>2.3793484504804256</v>
      </c>
      <c r="ED19" s="21">
        <f>100*Monatswerte!ED19/Erwerbspersonen!$D20</f>
        <v>2.6271184401568455</v>
      </c>
      <c r="EE19" s="25">
        <f>100*Monatswerte!EE19/Erwerbspersonen!$D20</f>
        <v>2.64224943189281</v>
      </c>
      <c r="EF19" s="21">
        <f>100*Monatswerte!EF19/Erwerbspersonen!$D20</f>
        <v>2.6630545455297612</v>
      </c>
      <c r="EG19" s="21">
        <f>100*Monatswerte!EG19/Erwerbspersonen!$D20</f>
        <v>2.5892909608169341</v>
      </c>
      <c r="EH19" s="21">
        <f>100*Monatswerte!EH19/Erwerbspersonen!$D20</f>
        <v>2.6006392046189073</v>
      </c>
      <c r="EI19" s="21">
        <f>100*Monatswerte!EI19/Erwerbspersonen!$D20</f>
        <v>2.5703772211469782</v>
      </c>
      <c r="EJ19" s="21">
        <f>100*Monatswerte!EJ19/Erwerbspersonen!$D20</f>
        <v>2.5873995868499384</v>
      </c>
      <c r="EK19" s="21">
        <f>100*Monatswerte!EK19/Erwerbspersonen!$D20</f>
        <v>2.7841024794174776</v>
      </c>
      <c r="EL19" s="21">
        <f>100*Monatswerte!EL19/Erwerbspersonen!$D20</f>
        <v>2.7557318699125442</v>
      </c>
      <c r="EM19" s="21">
        <f>100*Monatswerte!EM19/Erwerbspersonen!$D20</f>
        <v>2.7424922521435753</v>
      </c>
      <c r="EN19" s="21">
        <f>100*Monatswerte!EN19/Erwerbspersonen!$D20</f>
        <v>2.778428357516491</v>
      </c>
      <c r="EO19" s="21">
        <f>100*Monatswerte!EO19/Erwerbspersonen!$D20</f>
        <v>2.9240641529751499</v>
      </c>
      <c r="EP19" s="21">
        <f>100*Monatswerte!EP19/Erwerbspersonen!$D20</f>
        <v>3.2115529959584763</v>
      </c>
      <c r="EQ19" s="25">
        <f>100*Monatswerte!EQ19/Erwerbspersonen!$D20</f>
        <v>3.1226584195096847</v>
      </c>
      <c r="ER19" s="21">
        <f>100*Monatswerte!ER19/Erwerbspersonen!$D20</f>
        <v>3.0451120868628663</v>
      </c>
      <c r="ES19" s="21">
        <f>100*Monatswerte!ES19/Erwerbspersonen!$D20</f>
        <v>3.0091759814899501</v>
      </c>
      <c r="ET19" s="21">
        <f>100*Monatswerte!ET19/Erwerbspersonen!$D20</f>
        <v>2.8729970558662692</v>
      </c>
      <c r="EU19" s="21">
        <f>100*Monatswerte!EU19/Erwerbspersonen!$D20</f>
        <v>2.8540833161963137</v>
      </c>
      <c r="EV19" s="21">
        <f>100*Monatswerte!EV19/Erwerbspersonen!$D20</f>
        <v>2.7878852273514689</v>
      </c>
      <c r="EW19" s="21">
        <f>100*Monatswerte!EW19/Erwerbspersonen!$D20</f>
        <v>2.7424922521435753</v>
      </c>
      <c r="EX19" s="21">
        <f>100*Monatswerte!EX19/Erwerbspersonen!$D20</f>
        <v>2.818147210823398</v>
      </c>
      <c r="EY19" s="21">
        <f>100*Monatswerte!EY19/Erwerbspersonen!$D20</f>
        <v>2.9013676653712031</v>
      </c>
      <c r="EZ19" s="21">
        <f>100*Monatswerte!EZ19/Erwerbspersonen!$D20</f>
        <v>2.8881280476022337</v>
      </c>
      <c r="FA19" s="21">
        <f>100*Monatswerte!FA19/Erwerbspersonen!$D20</f>
        <v>3.0299810951269017</v>
      </c>
      <c r="FB19" s="27">
        <f>100*Monatswerte!FB19/Erwerbspersonen!$D20</f>
        <v>3.1699427686845736</v>
      </c>
      <c r="FC19" s="21">
        <f>100*Monatswerte!FC19/Erwerbspersonen!$E20</f>
        <v>3.1136977678793216</v>
      </c>
      <c r="FD19" s="21">
        <f>100*Monatswerte!FD19/Erwerbspersonen!$E20</f>
        <v>2.9735434887898631</v>
      </c>
      <c r="FE19" s="21">
        <f>100*Monatswerte!FE19/Erwerbspersonen!$E20</f>
        <v>2.8996783957562298</v>
      </c>
      <c r="FF19" s="21">
        <f>100*Monatswerte!FF19/Erwerbspersonen!$E20</f>
        <v>2.7500542329445103</v>
      </c>
      <c r="FG19" s="21">
        <f>100*Monatswerte!FG19/Erwerbspersonen!$E20</f>
        <v>2.6098999538550518</v>
      </c>
      <c r="FH19" s="21">
        <f>100*Monatswerte!FH19/Erwerbspersonen!$E20</f>
        <v>2.4545938608099762</v>
      </c>
      <c r="FI19" s="21">
        <f>100*Monatswerte!FI19/Erwerbspersonen!$E20</f>
        <v>2.4716396515100456</v>
      </c>
      <c r="FJ19" s="21">
        <f>100*Monatswerte!FJ19/Erwerbspersonen!$E20</f>
        <v>2.4602757910433328</v>
      </c>
      <c r="FK19" s="21">
        <f>100*Monatswerte!FK19/Erwerbspersonen!$E20</f>
        <v>2.465957721276689</v>
      </c>
      <c r="FL19" s="21">
        <f>100*Monatswerte!FL19/Erwerbspersonen!$E20</f>
        <v>2.4848974887212103</v>
      </c>
      <c r="FM19" s="21">
        <f>100*Monatswerte!FM19/Erwerbspersonen!$E20</f>
        <v>2.5625505352437483</v>
      </c>
      <c r="FN19" s="21">
        <f>100*Monatswerte!FN19/Erwerbspersonen!$E20</f>
        <v>2.7273265120110848</v>
      </c>
      <c r="FO19" s="25">
        <f>100*Monatswerte!FO19/Erwerbspersonen!$E20</f>
        <v>2.638309605021834</v>
      </c>
      <c r="FP19" s="21">
        <f>100*Monatswerte!FP19/Erwerbspersonen!$E20</f>
        <v>2.5701264422215568</v>
      </c>
      <c r="FQ19" s="21">
        <f>100*Monatswerte!FQ19/Erwerbspersonen!$E20</f>
        <v>2.5322469073325142</v>
      </c>
      <c r="FR19" s="21">
        <f>100*Monatswerte!FR19/Erwerbspersonen!$E20</f>
        <v>2.1667093956532506</v>
      </c>
      <c r="FS19" s="21">
        <f>100*Monatswerte!FS19/Erwerbspersonen!$E20</f>
        <v>1.8996586746854986</v>
      </c>
      <c r="FT19" s="21">
        <f>100*Monatswerte!FT19/Erwerbspersonen!$E20</f>
        <v>1.7935959769961787</v>
      </c>
      <c r="FU19" s="21">
        <f>100*Monatswerte!FU19/Erwerbspersonen!$E20</f>
        <v>1.717836907218093</v>
      </c>
      <c r="FV19" s="21">
        <f>100*Monatswerte!FV19/Erwerbspersonen!$E20</f>
        <v>1.7651863258293965</v>
      </c>
      <c r="FW19" s="21">
        <f>100*Monatswerte!FW19/Erwerbspersonen!$E20</f>
        <v>1.7235188374514494</v>
      </c>
      <c r="FX19" s="21">
        <f>100*Monatswerte!FX19/Erwerbspersonen!$E20</f>
        <v>1.6723814653512414</v>
      </c>
      <c r="FY19" s="21">
        <f>100*Monatswerte!FY19/Erwerbspersonen!$E20</f>
        <v>1.7102610002402843</v>
      </c>
      <c r="FZ19" s="21">
        <f>100*Monatswerte!FZ19/Erwerbspersonen!$E20</f>
        <v>1.7935959769961787</v>
      </c>
      <c r="GA19" s="25">
        <f>100*Monatswerte!GA19/Erwerbspersonen!$E20</f>
        <v>1.8864008374743335</v>
      </c>
      <c r="GB19" s="21">
        <f>100*Monatswerte!GB19/Erwerbspersonen!$E20</f>
        <v>1.7519284886182316</v>
      </c>
      <c r="GC19" s="21">
        <f>100*Monatswerte!GC19/Erwerbspersonen!$E20</f>
        <v>1.691321232795763</v>
      </c>
      <c r="GD19" s="21">
        <f>100*Monatswerte!GD19/Erwerbspersonen!$E20</f>
        <v>1.5587428606841129</v>
      </c>
      <c r="GE19" s="21">
        <f>100*Monatswerte!GE19/Erwerbspersonen!$E20</f>
        <v>1.5076054885839052</v>
      </c>
      <c r="GF19" s="21">
        <f>100*Monatswerte!GF19/Erwerbspersonen!$E20</f>
        <v>1.4507861862503408</v>
      </c>
      <c r="GG19" s="21">
        <f>100*Monatswerte!GG19/Erwerbspersonen!$E20</f>
        <v>1.452680162994793</v>
      </c>
      <c r="GH19" s="21">
        <f>100*Monatswerte!GH19/Erwerbspersonen!$E20</f>
        <v>1.5511669537063044</v>
      </c>
      <c r="GI19" s="21">
        <f>100*Monatswerte!GI19/Erwerbspersonen!$E20</f>
        <v>1.611774209528773</v>
      </c>
      <c r="GJ19" s="21">
        <f>100*Monatswerte!GJ19/Erwerbspersonen!$E20</f>
        <v>1.6382898839511029</v>
      </c>
      <c r="GK19" s="21">
        <f>100*Monatswerte!GK19/Erwerbspersonen!$E20</f>
        <v>1.6856393025624066</v>
      </c>
      <c r="GL19" s="21">
        <f>100*Monatswerte!GL19/Erwerbspersonen!$E20</f>
        <v>1.8977646979410465</v>
      </c>
      <c r="GM19" s="25">
        <f>100*Monatswerte!GM19/Erwerbspersonen!$F20</f>
        <v>2.0028989851266386</v>
      </c>
      <c r="GN19" s="21">
        <f>100*Monatswerte!GN19/Erwerbspersonen!$F20</f>
        <v>2.0343097625686615</v>
      </c>
      <c r="GO19" s="21">
        <f>100*Monatswerte!GO19/Erwerbspersonen!$F20</f>
        <v>2.3243975307096965</v>
      </c>
      <c r="GP19" s="21">
        <f>100*Monatswerte!GP19/Erwerbspersonen!$F20</f>
        <v>2.6015514493157812</v>
      </c>
      <c r="GQ19" s="21">
        <f>100*Monatswerte!GQ19/Erwerbspersonen!$F20</f>
        <v>2.6329622267578041</v>
      </c>
      <c r="GR19" s="21">
        <f>100*Monatswerte!GR19/Erwerbspersonen!$F20</f>
        <v>2.6754591609440705</v>
      </c>
      <c r="GS19" s="21">
        <f>100*Monatswerte!GS19/Erwerbspersonen!$F20</f>
        <v>2.6994791672232648</v>
      </c>
      <c r="GT19" s="21">
        <f>100*Monatswerte!GT19/Erwerbspersonen!$F20</f>
        <v>2.8971822958289382</v>
      </c>
      <c r="GU19" s="21">
        <f>100*Monatswerte!GU19/Erwerbspersonen!$F20</f>
        <v>2.8399038193170143</v>
      </c>
      <c r="GV19" s="21">
        <f>100*Monatswerte!GV19/Erwerbspersonen!$F20</f>
        <v>2.9156592237360104</v>
      </c>
      <c r="GW19" s="21">
        <f>100*Monatswerte!GW19/Erwerbspersonen!$F20</f>
        <v>2.9230499948988395</v>
      </c>
      <c r="GX19" s="27">
        <f>100*Monatswerte!GX19/Erwerbspersonen!$F20</f>
        <v>3.078256189318247</v>
      </c>
      <c r="GY19" s="21">
        <f>100*Monatswerte!GY19/Erwerbspersonen!$F20</f>
        <v>3.2685685467610917</v>
      </c>
      <c r="GZ19" s="21">
        <f>100*Monatswerte!GZ19/Erwerbspersonen!$F20</f>
        <v>3.2482439260633122</v>
      </c>
      <c r="HA19" s="21">
        <f>100*Monatswerte!HA19/Erwerbspersonen!$F20</f>
        <v>3.0135869416434939</v>
      </c>
      <c r="HB19" s="21">
        <f>100*Monatswerte!HB19/Erwerbspersonen!$F20</f>
        <v>2.9082684525731817</v>
      </c>
      <c r="HC19" s="21">
        <f>100*Monatswerte!HC19/Erwerbspersonen!$F20</f>
        <v>2.7031745528046791</v>
      </c>
      <c r="HD19" s="21">
        <f>100*Monatswerte!HD19/Erwerbspersonen!$F20</f>
        <v>2.5331868160596138</v>
      </c>
      <c r="HE19" s="21">
        <f>100*Monatswerte!HE19/Erwerbspersonen!$F20</f>
        <v>2.4130867846636437</v>
      </c>
      <c r="HF19" s="21">
        <f>100*Monatswerte!HF19/Erwerbspersonen!$F20</f>
        <v>2.400152935128693</v>
      </c>
      <c r="HG19" s="21">
        <f>100*Monatswerte!HG19/Erwerbspersonen!$F20</f>
        <v>2.3299406090818184</v>
      </c>
      <c r="HH19" s="21">
        <f>100*Monatswerte!HH19/Erwerbspersonen!$F20</f>
        <v>2.2172313488486775</v>
      </c>
      <c r="HI19" s="21">
        <f>100*Monatswerte!HI19/Erwerbspersonen!$F20</f>
        <v>2.2153836560579698</v>
      </c>
      <c r="HJ19" s="21">
        <f>100*Monatswerte!HJ19/Erwerbspersonen!$F20</f>
        <v>2.3299406090818184</v>
      </c>
      <c r="HK19" s="60">
        <f>100*Monatswerte!HK19/Erwerbspersonen!$F20</f>
        <v>2.3872190855937423</v>
      </c>
      <c r="HL19" s="3">
        <f>100*Monatswerte!HL19/Erwerbspersonen!$F20</f>
        <v>2.4241729414078872</v>
      </c>
      <c r="HM19" s="3">
        <f>100*Monatswerte!HM19/Erwerbspersonen!$F20</f>
        <v>2.2782052109420157</v>
      </c>
      <c r="HN19" s="3">
        <f>100*Monatswerte!HN19/Erwerbspersonen!$F20</f>
        <v>2.1211513237319011</v>
      </c>
      <c r="HO19" s="3">
        <f>100*Monatswerte!HO19/Erwerbspersonen!$F20</f>
        <v>1.9216005023355203</v>
      </c>
      <c r="HP19" s="3">
        <f>100*Monatswerte!HP19/Erwerbspersonen!$F20</f>
        <v>1.8181297060559154</v>
      </c>
      <c r="HQ19" s="3">
        <f>100*Monatswerte!HQ19/Erwerbspersonen!$F20</f>
        <v>1.8384543267536948</v>
      </c>
      <c r="HR19" s="3">
        <f>100*Monatswerte!HR19/Erwerbspersonen!$F20</f>
        <v>1.8199773988466226</v>
      </c>
      <c r="HS19" s="3">
        <f>100*Monatswerte!HS19/Erwerbspersonen!$F20</f>
        <v>1.6444465837294355</v>
      </c>
      <c r="HT19" s="3">
        <f>100*Monatswerte!HT19/Erwerbspersonen!$F20</f>
        <v>1.6333604269851922</v>
      </c>
      <c r="HU19" s="3">
        <f>100*Monatswerte!HU19/Erwerbspersonen!$F20</f>
        <v>1.6333604269851922</v>
      </c>
      <c r="HV19" s="64">
        <f>100*Monatswerte!HV19/Erwerbspersonen!$F20</f>
        <v>1.7238973737298466</v>
      </c>
      <c r="HW19" s="3">
        <f>100*[5]Monatswerte!HW19/[5]Erwerbspersonen!$F20</f>
        <v>1.7811758502417707</v>
      </c>
      <c r="HX19" s="3">
        <f>100*[5]Monatswerte!HX19/[5]Erwerbspersonen!$F20</f>
        <v>1.7054204458227742</v>
      </c>
      <c r="HY19" s="3">
        <f>100*[5]Monatswerte!HY19/[5]Erwerbspersonen!$F20</f>
        <v>1.7238973737298466</v>
      </c>
      <c r="HZ19" s="3">
        <f>100*[5]Monatswerte!HZ19/[5]Erwerbspersonen!$F20</f>
        <v>1.6315127341944851</v>
      </c>
      <c r="IA19" s="3">
        <f>100*[5]Monatswerte!IA19/[5]Erwerbspersonen!$F20</f>
        <v>1.6111881134967054</v>
      </c>
      <c r="IB19" s="3">
        <f>100*[5]Monatswerte!IB19/[5]Erwerbspersonen!$F20</f>
        <v>1.5003265460542716</v>
      </c>
      <c r="IC19" s="3">
        <f>100*[5]Monatswerte!IC19/[5]Erwerbspersonen!$F20</f>
        <v>1.5649957937290246</v>
      </c>
      <c r="ID19" s="3">
        <f>100*[5]Monatswerte!ID19/[5]Erwerbspersonen!$F20</f>
        <v>1.6481419693108501</v>
      </c>
      <c r="IE19" s="3">
        <f>100*[5]Monatswerte!IE19/[5]Erwerbspersonen!$F20</f>
        <v>1.6444465837294355</v>
      </c>
      <c r="IF19" s="3">
        <f>100*[5]Monatswerte!IF19/[5]Erwerbspersonen!$F20</f>
        <v>1.6444465837294355</v>
      </c>
      <c r="IG19" s="3">
        <f>100*[5]Monatswerte!IG19/[5]Erwerbspersonen!$F20</f>
        <v>1.662923511636508</v>
      </c>
      <c r="IH19" s="3">
        <f>100*[5]Monatswerte!IH19/[5]Erwerbspersonen!$F20</f>
        <v>1.8199773988466226</v>
      </c>
      <c r="II19" s="60">
        <f>100*[6]Monatswerte!II19/[6]Erwerbspersonen!$G20</f>
        <v>1.9204554927214543</v>
      </c>
      <c r="IJ19" s="3">
        <f>100*[6]Monatswerte!IJ19/[6]Erwerbspersonen!$G20</f>
        <v>1.8517351317633366</v>
      </c>
      <c r="IK19" s="3">
        <f>100*[6]Monatswerte!IK19/[6]Erwerbspersonen!$G20</f>
        <v>1.8591643599750249</v>
      </c>
      <c r="IL19" s="3">
        <f>100*[6]Monatswerte!IL19/[6]Erwerbspersonen!$G20</f>
        <v>1.8201609118636608</v>
      </c>
      <c r="IM19" s="3">
        <f>100*[6]Monatswerte!IM19/[6]Erwerbspersonen!$G20</f>
        <v>1.8573070529221027</v>
      </c>
      <c r="IN19" s="3">
        <f>100*[6]Monatswerte!IN19/[6]Erwerbspersonen!$G20</f>
        <v>1.8480205176574922</v>
      </c>
      <c r="IO19" s="3">
        <f>100*[6]Monatswerte!IO19/[6]Erwerbspersonen!$G20</f>
        <v>1.9594589408328185</v>
      </c>
      <c r="IP19" s="3">
        <f>100*[6]Monatswerte!IP19/[6]Erwerbspersonen!$G20</f>
        <v>2.1433323390721064</v>
      </c>
      <c r="IQ19" s="3">
        <f>100*[6]Monatswerte!IQ19/[6]Erwerbspersonen!$G20</f>
        <v>2.226911156453601</v>
      </c>
      <c r="IR19" s="3">
        <f>100*[6]Monatswerte!IR19/[6]Erwerbspersonen!$G20</f>
        <v>2.2826303680412643</v>
      </c>
      <c r="IS19" s="3">
        <f>100*[6]Monatswerte!IS19/[6]Erwerbspersonen!$G20</f>
        <v>2.3624945713169145</v>
      </c>
      <c r="IT19" s="3">
        <f>100*[6]Monatswerte!IT19/[6]Erwerbspersonen!$G20</f>
        <v>2.5463679695562029</v>
      </c>
      <c r="IU19" s="60">
        <f>100*[7]Monatswerte!IU19/[7]Erwerbspersonen!$G20</f>
        <v>2.6188029446201648</v>
      </c>
      <c r="IV19" s="3">
        <f>100*[7]Monatswerte!IV19/[7]Erwerbspersonen!$G20</f>
        <v>2.6968098408428931</v>
      </c>
      <c r="IW19" s="3">
        <f>100*[7]Monatswerte!IW19/[7]Erwerbspersonen!$G20</f>
        <v>2.745099824218868</v>
      </c>
      <c r="IX19" s="3">
        <f>100*[7]Monatswerte!IX19/[7]Erwerbspersonen!$G20</f>
        <v>2.633661401043542</v>
      </c>
      <c r="IY19" s="3">
        <f>100*[7]Monatswerte!IY19/[7]Erwerbspersonen!$G20</f>
        <v>2.544510662503281</v>
      </c>
      <c r="IZ19" s="3">
        <f>100*[7]Monatswerte!IZ19/[7]Erwerbspersonen!$G20</f>
        <v>2.5797994965088007</v>
      </c>
      <c r="JA19" s="3">
        <f>100*[7]Monatswerte!JA19/[7]Erwerbspersonen!$G20</f>
        <v>2.6689502350490617</v>
      </c>
      <c r="JB19" s="3">
        <f>100*[7]Monatswerte!JB19/[7]Erwerbspersonen!$G20</f>
        <v>2.8305359486532846</v>
      </c>
      <c r="JC19" s="3">
        <f>100*[7]Monatswerte!JC19/[7]Erwerbspersonen!$G20</f>
        <v>2.7971044217006868</v>
      </c>
      <c r="JD19" s="3">
        <f>100*[7]Monatswerte!JD19/[7]Erwerbspersonen!$G20</f>
        <v>2.745099824218868</v>
      </c>
      <c r="JE19" s="3">
        <f>100*[7]Monatswerte!JE19/[7]Erwerbspersonen!$G20</f>
        <v>2.7952471146477649</v>
      </c>
      <c r="JF19" s="3">
        <f>100*[7]Monatswerte!JF19/[7]Erwerbspersonen!$G20</f>
        <v>2.9809778199399748</v>
      </c>
      <c r="JG19" s="60">
        <f>100*[7]Monatswerte!JG19/[7]Erwerbspersonen!$G20</f>
        <v>3.1109893136445224</v>
      </c>
      <c r="JH19" s="3">
        <f>100*[7]Monatswerte!JH19/[7]Erwerbspersonen!$G20</f>
        <v>3.03855433858056</v>
      </c>
      <c r="JI19" s="3">
        <f>100*[7]Monatswerte!JI19/[7]Erwerbspersonen!$G20</f>
        <v>2.9066855378230909</v>
      </c>
    </row>
    <row r="20" spans="1:269" s="1" customFormat="1" x14ac:dyDescent="0.2">
      <c r="A20" s="1" t="s">
        <v>31</v>
      </c>
      <c r="B20" s="1">
        <v>15</v>
      </c>
      <c r="C20" s="21">
        <f>100*Monatswerte!C20/Erwerbspersonen!$B21</f>
        <v>5.2241161616161618</v>
      </c>
      <c r="D20" s="21">
        <f>100*Monatswerte!D20/Erwerbspersonen!$B21</f>
        <v>5.129419191919192</v>
      </c>
      <c r="E20" s="21">
        <f>100*Monatswerte!E20/Erwerbspersonen!$B21</f>
        <v>4.908459595959596</v>
      </c>
      <c r="F20" s="21">
        <f>100*Monatswerte!F20/Erwerbspersonen!$B21</f>
        <v>4.6953914141414144</v>
      </c>
      <c r="G20" s="21">
        <f>100*Monatswerte!G20/Erwerbspersonen!$B21</f>
        <v>4.4586489898989896</v>
      </c>
      <c r="H20" s="21">
        <f>100*Monatswerte!H20/Erwerbspersonen!$B21</f>
        <v>4.1114267676767673</v>
      </c>
      <c r="I20" s="21">
        <f>100*Monatswerte!I20/Erwerbspersonen!$B21</f>
        <v>4.1903409090909092</v>
      </c>
      <c r="J20" s="21">
        <f>100*Monatswerte!J20/Erwerbspersonen!$B21</f>
        <v>4.5533459595959593</v>
      </c>
      <c r="K20" s="21">
        <f>100*Monatswerte!K20/Erwerbspersonen!$B21</f>
        <v>4.5296717171717171</v>
      </c>
      <c r="L20" s="21">
        <f>100*Monatswerte!L20/Erwerbspersonen!$B21</f>
        <v>4.2850378787878789</v>
      </c>
      <c r="M20" s="21">
        <f>100*Monatswerte!M20/Erwerbspersonen!$B21</f>
        <v>4.5059974747474749</v>
      </c>
      <c r="N20" s="27">
        <f>100*Monatswerte!N20/Erwerbspersonen!$B21</f>
        <v>4.8453282828282829</v>
      </c>
      <c r="O20" s="21">
        <f>100*Monatswerte!O20/Erwerbspersonen!$B21</f>
        <v>4.8847853535353538</v>
      </c>
      <c r="P20" s="21">
        <f>100*Monatswerte!P20/Erwerbspersonen!$B21</f>
        <v>4.8453282828282829</v>
      </c>
      <c r="Q20" s="21">
        <f>100*Monatswerte!Q20/Erwerbspersonen!$B21</f>
        <v>4.6243686868686869</v>
      </c>
      <c r="R20" s="21">
        <f>100*Monatswerte!R20/Erwerbspersonen!$B21</f>
        <v>4.3402777777777777</v>
      </c>
      <c r="S20" s="21">
        <f>100*Monatswerte!S20/Erwerbspersonen!$B21</f>
        <v>4.2692550505050502</v>
      </c>
      <c r="T20" s="21">
        <f>100*Monatswerte!T20/Erwerbspersonen!$B21</f>
        <v>4.0009469696969697</v>
      </c>
      <c r="U20" s="21">
        <f>100*Monatswerte!U20/Erwerbspersonen!$B21</f>
        <v>4.0640782828282829</v>
      </c>
      <c r="V20" s="21">
        <f>100*Monatswerte!V20/Erwerbspersonen!$B21</f>
        <v>4.127209595959596</v>
      </c>
      <c r="W20" s="21">
        <f>100*Monatswerte!W20/Erwerbspersonen!$B21</f>
        <v>4.0640782828282829</v>
      </c>
      <c r="X20" s="21">
        <f>100*Monatswerte!X20/Erwerbspersonen!$B21</f>
        <v>4.1114267676767673</v>
      </c>
      <c r="Y20" s="21">
        <f>100*Monatswerte!Y20/Erwerbspersonen!$B21</f>
        <v>3.9693813131313131</v>
      </c>
      <c r="Z20" s="27">
        <f>100*Monatswerte!Z20/Erwerbspersonen!$B21</f>
        <v>4.0640782828282829</v>
      </c>
      <c r="AA20" s="21">
        <f>100*Monatswerte!AA20/Erwerbspersonen!$B21</f>
        <v>3.9299242424242422</v>
      </c>
      <c r="AB20" s="21">
        <f>100*Monatswerte!AB20/Erwerbspersonen!$B21</f>
        <v>4.0325126262626263</v>
      </c>
      <c r="AC20" s="21">
        <f>100*Monatswerte!AC20/Erwerbspersonen!$B21</f>
        <v>3.8352272727272729</v>
      </c>
      <c r="AD20" s="21">
        <f>100*Monatswerte!AD20/Erwerbspersonen!$B21</f>
        <v>3.7326388888888888</v>
      </c>
      <c r="AE20" s="21">
        <f>100*Monatswerte!AE20/Erwerbspersonen!$B21</f>
        <v>3.4248737373737375</v>
      </c>
      <c r="AF20" s="21">
        <f>100*Monatswerte!AF20/Erwerbspersonen!$B21</f>
        <v>3.4011994949494948</v>
      </c>
      <c r="AG20" s="21">
        <f>100*Monatswerte!AG20/Erwerbspersonen!$B21</f>
        <v>3.3380681818181817</v>
      </c>
      <c r="AH20" s="21">
        <f>100*Monatswerte!AH20/Erwerbspersonen!$B21</f>
        <v>3.4169823232323231</v>
      </c>
      <c r="AI20" s="21">
        <f>100*Monatswerte!AI20/Erwerbspersonen!$B21</f>
        <v>3.3301767676767677</v>
      </c>
      <c r="AJ20" s="21">
        <f>100*Monatswerte!AJ20/Erwerbspersonen!$B21</f>
        <v>3.2275883838383836</v>
      </c>
      <c r="AK20" s="21">
        <f>100*Monatswerte!AK20/Erwerbspersonen!$B21</f>
        <v>3.2039141414141414</v>
      </c>
      <c r="AL20" s="27">
        <f>100*Monatswerte!AL20/Erwerbspersonen!$B21</f>
        <v>3.456439393939394</v>
      </c>
      <c r="AM20" s="21">
        <f>100*Monatswerte!AM20/Erwerbspersonen!$B21</f>
        <v>3.4958964646464645</v>
      </c>
      <c r="AN20" s="21">
        <f>100*Monatswerte!AN20/Erwerbspersonen!$B21</f>
        <v>3.3854166666666665</v>
      </c>
      <c r="AO20" s="21">
        <f>100*Monatswerte!AO20/Erwerbspersonen!$B21</f>
        <v>3.1171085858585861</v>
      </c>
      <c r="AP20" s="21">
        <f>100*Monatswerte!AP20/Erwerbspersonen!$B21</f>
        <v>2.9908459595959598</v>
      </c>
      <c r="AQ20" s="21">
        <f>100*Monatswerte!AQ20/Erwerbspersonen!$B21</f>
        <v>2.8330176767676769</v>
      </c>
      <c r="AR20" s="21">
        <f>100*Monatswerte!AR20/Erwerbspersonen!$B21</f>
        <v>2.6515151515151514</v>
      </c>
      <c r="AS20" s="21">
        <f>100*Monatswerte!AS20/Erwerbspersonen!$B21</f>
        <v>2.7146464646464645</v>
      </c>
      <c r="AT20" s="21">
        <f>100*Monatswerte!AT20/Erwerbspersonen!$B21</f>
        <v>2.9119318181818183</v>
      </c>
      <c r="AU20" s="21">
        <f>100*Monatswerte!AU20/Erwerbspersonen!$B21</f>
        <v>2.7067550505050506</v>
      </c>
      <c r="AV20" s="21">
        <f>100*Monatswerte!AV20/Erwerbspersonen!$B21</f>
        <v>2.6357323232323231</v>
      </c>
      <c r="AW20" s="21">
        <f>100*Monatswerte!AW20/Erwerbspersonen!$B21</f>
        <v>2.5331439393939394</v>
      </c>
      <c r="AX20" s="27">
        <f>100*Monatswerte!AX20/Erwerbspersonen!$B21</f>
        <v>2.6278409090909092</v>
      </c>
      <c r="AY20" s="21">
        <f>100*Monatswerte!AY20/Erwerbspersonen!$C21</f>
        <v>2.7385159010600706</v>
      </c>
      <c r="AZ20" s="21">
        <f>100*Monatswerte!AZ20/Erwerbspersonen!$C21</f>
        <v>2.5859299710889818</v>
      </c>
      <c r="BA20" s="21">
        <f>100*Monatswerte!BA20/Erwerbspersonen!$C21</f>
        <v>2.5457757789913269</v>
      </c>
      <c r="BB20" s="21">
        <f>100*Monatswerte!BB20/Erwerbspersonen!$C21</f>
        <v>2.7706392547381946</v>
      </c>
      <c r="BC20" s="21">
        <f>100*Monatswerte!BC20/Erwerbspersonen!$C21</f>
        <v>2.7626084163186637</v>
      </c>
      <c r="BD20" s="21">
        <f>100*Monatswerte!BD20/Erwerbspersonen!$C21</f>
        <v>2.5457757789913269</v>
      </c>
      <c r="BE20" s="21">
        <f>100*Monatswerte!BE20/Erwerbspersonen!$C21</f>
        <v>2.7626084163186637</v>
      </c>
      <c r="BF20" s="21">
        <f>100*Monatswerte!BF20/Erwerbspersonen!$C21</f>
        <v>2.8509476389335044</v>
      </c>
      <c r="BG20" s="21">
        <f>100*Monatswerte!BG20/Erwerbspersonen!$C21</f>
        <v>2.9232251847092838</v>
      </c>
      <c r="BH20" s="21">
        <f>100*Monatswerte!BH20/Erwerbspersonen!$C21</f>
        <v>3.0276260841631868</v>
      </c>
      <c r="BI20" s="21">
        <f>100*Monatswerte!BI20/Erwerbspersonen!$C21</f>
        <v>3.2364278830709927</v>
      </c>
      <c r="BJ20" s="27">
        <f>100*Monatswerte!BJ20/Erwerbspersonen!$C21</f>
        <v>3.8467716029553487</v>
      </c>
      <c r="BK20" s="21">
        <f>100*Monatswerte!BK20/Erwerbspersonen!$C21</f>
        <v>3.9832958560873757</v>
      </c>
      <c r="BL20" s="21">
        <f>100*Monatswerte!BL20/Erwerbspersonen!$C21</f>
        <v>4.4249919691615807</v>
      </c>
      <c r="BM20" s="21">
        <f>100*Monatswerte!BM20/Erwerbspersonen!$C21</f>
        <v>4.7301638291037582</v>
      </c>
      <c r="BN20" s="21">
        <f>100*Monatswerte!BN20/Erwerbspersonen!$C21</f>
        <v>4.8265338901381307</v>
      </c>
      <c r="BO20" s="21">
        <f>100*Monatswerte!BO20/Erwerbspersonen!$C21</f>
        <v>5.1879216190170254</v>
      </c>
      <c r="BP20" s="21">
        <f>100*Monatswerte!BP20/Erwerbspersonen!$C21</f>
        <v>5.6376485705107617</v>
      </c>
      <c r="BQ20" s="21">
        <f>100*Monatswerte!BQ20/Erwerbspersonen!$C21</f>
        <v>5.7099261162865407</v>
      </c>
      <c r="BR20" s="21">
        <f>100*Monatswerte!BR20/Erwerbspersonen!$C21</f>
        <v>5.8544812078380986</v>
      </c>
      <c r="BS20" s="21">
        <f>100*Monatswerte!BS20/Erwerbspersonen!$C21</f>
        <v>5.9990362993896564</v>
      </c>
      <c r="BT20" s="21">
        <f>100*Monatswerte!BT20/Erwerbspersonen!$C21</f>
        <v>5.8625120462576294</v>
      </c>
      <c r="BU20" s="21">
        <f>100*Monatswerte!BU20/Erwerbspersonen!$C21</f>
        <v>6.0632830067459045</v>
      </c>
      <c r="BV20" s="27">
        <f>100*Monatswerte!BV20/Erwerbspersonen!$C21</f>
        <v>6.4728557661419854</v>
      </c>
      <c r="BW20" s="21">
        <f>100*Monatswerte!BW20/Erwerbspersonen!$C21</f>
        <v>6.440732412463861</v>
      </c>
      <c r="BX20" s="21">
        <f>100*Monatswerte!BX20/Erwerbspersonen!$C21</f>
        <v>6.2399614519755859</v>
      </c>
      <c r="BY20" s="21">
        <f>100*Monatswerte!BY20/Erwerbspersonen!$C21</f>
        <v>6.1114680372630898</v>
      </c>
      <c r="BZ20" s="21">
        <f>100*Monatswerte!BZ20/Erwerbspersonen!$C21</f>
        <v>5.5252168326373274</v>
      </c>
      <c r="CA20" s="21">
        <f>100*Monatswerte!CA20/Erwerbspersonen!$C21</f>
        <v>5.2120141342756181</v>
      </c>
      <c r="CB20" s="21">
        <f>100*Monatswerte!CB20/Erwerbspersonen!$C21</f>
        <v>4.7622871827818827</v>
      </c>
      <c r="CC20" s="21">
        <f>100*Monatswerte!CC20/Erwerbspersonen!$C21</f>
        <v>4.6177320912303248</v>
      </c>
      <c r="CD20" s="21">
        <f>100*Monatswerte!CD20/Erwerbspersonen!$C21</f>
        <v>4.6900096370061037</v>
      </c>
      <c r="CE20" s="21">
        <f>100*Monatswerte!CE20/Erwerbspersonen!$C21</f>
        <v>4.0636042402826851</v>
      </c>
      <c r="CF20" s="21">
        <f>100*Monatswerte!CF20/Erwerbspersonen!$C21</f>
        <v>4.2483135239318983</v>
      </c>
      <c r="CG20" s="21">
        <f>100*Monatswerte!CG20/Erwerbspersonen!$C21</f>
        <v>4.2563443623514292</v>
      </c>
      <c r="CH20" s="27">
        <f>100*Monatswerte!CH20/Erwerbspersonen!$C21</f>
        <v>4.3768069386443944</v>
      </c>
      <c r="CI20" s="21">
        <f>100*Monatswerte!CI20/Erwerbspersonen!$C21</f>
        <v>4.4008994539029871</v>
      </c>
      <c r="CJ20" s="21">
        <f>100*Monatswerte!CJ20/Erwerbspersonen!$C21</f>
        <v>4.1278509476389331</v>
      </c>
      <c r="CK20" s="21">
        <f>100*Monatswerte!CK20/Erwerbspersonen!$C21</f>
        <v>3.6861548345647286</v>
      </c>
      <c r="CL20" s="21">
        <f>100*Monatswerte!CL20/Erwerbspersonen!$C21</f>
        <v>3.3006745904272408</v>
      </c>
      <c r="CM20" s="21">
        <f>100*Monatswerte!CM20/Erwerbspersonen!$C21</f>
        <v>2.9312560231288147</v>
      </c>
      <c r="CN20" s="21">
        <f>100*Monatswerte!CN20/Erwerbspersonen!$C21</f>
        <v>2.8027626084163186</v>
      </c>
      <c r="CO20" s="21">
        <f>100*Monatswerte!CO20/Erwerbspersonen!$C21</f>
        <v>2.5859299710889818</v>
      </c>
      <c r="CP20" s="21">
        <f>100*Monatswerte!CP20/Erwerbspersonen!$C21</f>
        <v>2.5297141021522647</v>
      </c>
      <c r="CQ20" s="21">
        <f>100*Monatswerte!CQ20/Erwerbspersonen!$C21</f>
        <v>2.7786700931577255</v>
      </c>
      <c r="CR20" s="21">
        <f>100*Monatswerte!CR20/Erwerbspersonen!$C21</f>
        <v>2.7385159010600706</v>
      </c>
      <c r="CS20" s="21">
        <f>100*Monatswerte!CS20/Erwerbspersonen!$C21</f>
        <v>3.1721811757147447</v>
      </c>
      <c r="CT20" s="27">
        <f>100*Monatswerte!CT20/Erwerbspersonen!$C21</f>
        <v>3.2765820751686476</v>
      </c>
      <c r="CU20" s="21">
        <f>100*Monatswerte!CU20/Erwerbspersonen!$C21</f>
        <v>3.2685512367491167</v>
      </c>
      <c r="CV20" s="21">
        <f>100*Monatswerte!CV20/Erwerbspersonen!$C21</f>
        <v>3.4452296819787986</v>
      </c>
      <c r="CW20" s="21">
        <f>100*Monatswerte!CW20/Erwerbspersonen!$C21</f>
        <v>3.2846129135881785</v>
      </c>
      <c r="CX20" s="21">
        <f>100*Monatswerte!CX20/Erwerbspersonen!$C21</f>
        <v>3.3006745904272408</v>
      </c>
      <c r="CY20" s="21">
        <f>100*Monatswerte!CY20/Erwerbspersonen!$C21</f>
        <v>3.1239961451975584</v>
      </c>
      <c r="CZ20" s="21">
        <f>100*Monatswerte!CZ20/Erwerbspersonen!$C21</f>
        <v>3.0677802762608417</v>
      </c>
      <c r="DA20" s="21">
        <f>100*Monatswerte!DA20/Erwerbspersonen!$C21</f>
        <v>3.0999036299389657</v>
      </c>
      <c r="DB20" s="21">
        <f>100*Monatswerte!DB20/Erwerbspersonen!$C21</f>
        <v>3.4050754898811437</v>
      </c>
      <c r="DC20" s="21">
        <f>100*Monatswerte!DC20/Erwerbspersonen!$C21</f>
        <v>3.4371988435592677</v>
      </c>
      <c r="DD20" s="21">
        <f>100*Monatswerte!DD20/Erwerbspersonen!$C21</f>
        <v>3.3970446514616124</v>
      </c>
      <c r="DE20" s="21">
        <f>100*Monatswerte!DE20/Erwerbspersonen!$C21</f>
        <v>3.6700931577256664</v>
      </c>
      <c r="DF20" s="27">
        <f>100*Monatswerte!DF20/Erwerbspersonen!$C21</f>
        <v>4.0716350787022169</v>
      </c>
      <c r="DG20" s="21">
        <f>100*Monatswerte!DG20/Erwerbspersonen!$C21</f>
        <v>4.3527144233858017</v>
      </c>
      <c r="DH20" s="21">
        <f>100*Monatswerte!DH20/Erwerbspersonen!$C21</f>
        <v>4.2884677160295537</v>
      </c>
      <c r="DI20" s="21">
        <f>100*Monatswerte!DI20/Erwerbspersonen!$C21</f>
        <v>3.8628332797944105</v>
      </c>
      <c r="DJ20" s="21">
        <f>100*Monatswerte!DJ20/Erwerbspersonen!$C21</f>
        <v>3.7504015419209766</v>
      </c>
      <c r="DK20" s="21">
        <f>100*Monatswerte!DK20/Erwerbspersonen!$C21</f>
        <v>3.7263090266623835</v>
      </c>
      <c r="DL20" s="21">
        <f>100*Monatswerte!DL20/Erwerbspersonen!$C21</f>
        <v>3.5255380661741085</v>
      </c>
      <c r="DM20" s="21">
        <f>100*Monatswerte!DM20/Erwerbspersonen!$C21</f>
        <v>3.7584323803405075</v>
      </c>
      <c r="DN20" s="21">
        <f>100*Monatswerte!DN20/Erwerbspersonen!$C21</f>
        <v>4.0555734018631542</v>
      </c>
      <c r="DO20" s="21">
        <f>100*Monatswerte!DO20/Erwerbspersonen!$C21</f>
        <v>4.1278509476389331</v>
      </c>
      <c r="DP20" s="21">
        <f>100*Monatswerte!DP20/Erwerbspersonen!$C21</f>
        <v>4.3928686154834562</v>
      </c>
      <c r="DQ20" s="21">
        <f>100*Monatswerte!DQ20/Erwerbspersonen!$C21</f>
        <v>4.4651461612592351</v>
      </c>
      <c r="DR20" s="27">
        <f>100*Monatswerte!DR20/Erwerbspersonen!$C21</f>
        <v>4.7060713138451655</v>
      </c>
      <c r="DS20" s="21">
        <f>100*Monatswerte!DS20/Erwerbspersonen!$D21</f>
        <v>4.2275343072155822</v>
      </c>
      <c r="DT20" s="21">
        <f>100*Monatswerte!DT20/Erwerbspersonen!$D21</f>
        <v>4.1242437656780284</v>
      </c>
      <c r="DU20" s="21">
        <f>100*Monatswerte!DU20/Erwerbspersonen!$D21</f>
        <v>4.0430869116128081</v>
      </c>
      <c r="DV20" s="21">
        <f>100*Monatswerte!DV20/Erwerbspersonen!$D21</f>
        <v>3.9545521617234765</v>
      </c>
      <c r="DW20" s="21">
        <f>100*Monatswerte!DW20/Erwerbspersonen!$D21</f>
        <v>3.9176626826029217</v>
      </c>
      <c r="DX20" s="21">
        <f>100*Monatswerte!DX20/Erwerbspersonen!$D21</f>
        <v>3.6151689538143721</v>
      </c>
      <c r="DY20" s="21">
        <f>100*Monatswerte!DY20/Erwerbspersonen!$D21</f>
        <v>3.4897447248044857</v>
      </c>
      <c r="DZ20" s="21">
        <f>100*Monatswerte!DZ20/Erwerbspersonen!$D21</f>
        <v>3.3200531208499338</v>
      </c>
      <c r="EA20" s="21">
        <f>100*Monatswerte!EA20/Erwerbspersonen!$D21</f>
        <v>3.2684078500811569</v>
      </c>
      <c r="EB20" s="21">
        <f>100*Monatswerte!EB20/Erwerbspersonen!$D21</f>
        <v>3.0544488711819389</v>
      </c>
      <c r="EC20" s="21">
        <f>100*Monatswerte!EC20/Erwerbspersonen!$D21</f>
        <v>3.238896266784713</v>
      </c>
      <c r="ED20" s="21">
        <f>100*Monatswerte!ED20/Erwerbspersonen!$D21</f>
        <v>3.7405931828242585</v>
      </c>
      <c r="EE20" s="25">
        <f>100*Monatswerte!EE20/Erwerbspersonen!$D21</f>
        <v>3.6815700162313707</v>
      </c>
      <c r="EF20" s="21">
        <f>100*Monatswerte!EF20/Erwerbspersonen!$D21</f>
        <v>3.6815700162313707</v>
      </c>
      <c r="EG20" s="21">
        <f>100*Monatswerte!EG20/Erwerbspersonen!$D21</f>
        <v>3.6741921204072598</v>
      </c>
      <c r="EH20" s="21">
        <f>100*Monatswerte!EH20/Erwerbspersonen!$D21</f>
        <v>3.7037037037037037</v>
      </c>
      <c r="EI20" s="21">
        <f>100*Monatswerte!EI20/Erwerbspersonen!$D21</f>
        <v>3.3495647041463776</v>
      </c>
      <c r="EJ20" s="21">
        <f>100*Monatswerte!EJ20/Erwerbspersonen!$D21</f>
        <v>3.3126752250258225</v>
      </c>
      <c r="EK20" s="21">
        <f>100*Monatswerte!EK20/Erwerbspersonen!$D21</f>
        <v>3.4085878707392649</v>
      </c>
      <c r="EL20" s="21">
        <f>100*Monatswerte!EL20/Erwerbspersonen!$D21</f>
        <v>3.4897447248044857</v>
      </c>
      <c r="EM20" s="21">
        <f>100*Monatswerte!EM20/Erwerbspersonen!$D21</f>
        <v>3.4085878707392649</v>
      </c>
      <c r="EN20" s="21">
        <f>100*Monatswerte!EN20/Erwerbspersonen!$D21</f>
        <v>3.6963258078795929</v>
      </c>
      <c r="EO20" s="21">
        <f>100*Monatswerte!EO20/Erwerbspersonen!$D21</f>
        <v>4.2791795779843591</v>
      </c>
      <c r="EP20" s="21">
        <f>100*Monatswerte!EP20/Erwerbspersonen!$D21</f>
        <v>4.5521617234764644</v>
      </c>
      <c r="EQ20" s="25">
        <f>100*Monatswerte!EQ20/Erwerbspersonen!$D21</f>
        <v>4.4783827652353549</v>
      </c>
      <c r="ER20" s="21">
        <f>100*Monatswerte!ER20/Erwerbspersonen!$D21</f>
        <v>4.3160690571049134</v>
      </c>
      <c r="ES20" s="21">
        <f>100*Monatswerte!ES20/Erwerbspersonen!$D21</f>
        <v>4.2349122030396931</v>
      </c>
      <c r="ET20" s="21">
        <f>100*Monatswerte!ET20/Erwerbspersonen!$D21</f>
        <v>4.2054006197432496</v>
      </c>
      <c r="EU20" s="21">
        <f>100*Monatswerte!EU20/Erwerbspersonen!$D21</f>
        <v>4.0283311199645864</v>
      </c>
      <c r="EV20" s="21">
        <f>100*Monatswerte!EV20/Erwerbspersonen!$D21</f>
        <v>3.858639516010034</v>
      </c>
      <c r="EW20" s="21">
        <f>100*Monatswerte!EW20/Erwerbspersonen!$D21</f>
        <v>3.6520584329349268</v>
      </c>
      <c r="EX20" s="21">
        <f>100*Monatswerte!EX20/Erwerbspersonen!$D21</f>
        <v>3.7332152870001476</v>
      </c>
      <c r="EY20" s="21">
        <f>100*Monatswerte!EY20/Erwerbspersonen!$D21</f>
        <v>3.8881510993064778</v>
      </c>
      <c r="EZ20" s="21">
        <f>100*Monatswerte!EZ20/Erwerbspersonen!$D21</f>
        <v>3.8955289951305887</v>
      </c>
      <c r="FA20" s="21">
        <f>100*Monatswerte!FA20/Erwerbspersonen!$D21</f>
        <v>4.190644828095027</v>
      </c>
      <c r="FB20" s="27">
        <f>100*Monatswerte!FB20/Erwerbspersonen!$D21</f>
        <v>4.4931385568835767</v>
      </c>
      <c r="FC20" s="21">
        <f>100*Monatswerte!FC20/Erwerbspersonen!$E21</f>
        <v>4.4579459776004686</v>
      </c>
      <c r="FD20" s="21">
        <f>100*Monatswerte!FD20/Erwerbspersonen!$E21</f>
        <v>4.2676231608227804</v>
      </c>
      <c r="FE20" s="21">
        <f>100*Monatswerte!FE20/Erwerbspersonen!$E21</f>
        <v>4.1358612107459187</v>
      </c>
      <c r="FF20" s="21">
        <f>100*Monatswerte!FF20/Erwerbspersonen!$E21</f>
        <v>4.0480199106946779</v>
      </c>
      <c r="FG20" s="21">
        <f>100*Monatswerte!FG20/Erwerbspersonen!$E21</f>
        <v>3.7332552521777322</v>
      </c>
      <c r="FH20" s="21">
        <f>100*Monatswerte!FH20/Erwerbspersonen!$E21</f>
        <v>3.5722128687504573</v>
      </c>
      <c r="FI20" s="21">
        <f>100*Monatswerte!FI20/Erwerbspersonen!$E21</f>
        <v>3.6673742771393019</v>
      </c>
      <c r="FJ20" s="21">
        <f>100*Monatswerte!FJ20/Erwerbspersonen!$E21</f>
        <v>3.6966547104897152</v>
      </c>
      <c r="FK20" s="21">
        <f>100*Monatswerte!FK20/Erwerbspersonen!$E21</f>
        <v>3.5356123270624407</v>
      </c>
      <c r="FL20" s="21">
        <f>100*Monatswerte!FL20/Erwerbspersonen!$E21</f>
        <v>3.1330063684942537</v>
      </c>
      <c r="FM20" s="21">
        <f>100*Monatswerte!FM20/Erwerbspersonen!$E21</f>
        <v>3.381890051972769</v>
      </c>
      <c r="FN20" s="21">
        <f>100*Monatswerte!FN20/Erwerbspersonen!$E21</f>
        <v>3.6893346021521118</v>
      </c>
      <c r="FO20" s="25">
        <f>100*Monatswerte!FO20/Erwerbspersonen!$E21</f>
        <v>3.5941731937632677</v>
      </c>
      <c r="FP20" s="21">
        <f>100*Monatswerte!FP20/Erwerbspersonen!$E21</f>
        <v>3.5941731937632677</v>
      </c>
      <c r="FQ20" s="21">
        <f>100*Monatswerte!FQ20/Erwerbspersonen!$E21</f>
        <v>3.5282922187248373</v>
      </c>
      <c r="FR20" s="21">
        <f>100*Monatswerte!FR20/Erwerbspersonen!$E21</f>
        <v>3.0598052851182196</v>
      </c>
      <c r="FS20" s="21">
        <f>100*Monatswerte!FS20/Erwerbspersonen!$E21</f>
        <v>2.7450406266012739</v>
      </c>
      <c r="FT20" s="21">
        <f>100*Monatswerte!FT20/Erwerbspersonen!$E21</f>
        <v>2.4229558597467244</v>
      </c>
      <c r="FU20" s="21">
        <f>100*Monatswerte!FU20/Erwerbspersonen!$E21</f>
        <v>2.3204743430202766</v>
      </c>
      <c r="FV20" s="21">
        <f>100*Monatswerte!FV20/Erwerbspersonen!$E21</f>
        <v>2.2838738013322599</v>
      </c>
      <c r="FW20" s="21">
        <f>100*Monatswerte!FW20/Erwerbspersonen!$E21</f>
        <v>2.364394993045897</v>
      </c>
      <c r="FX20" s="21">
        <f>100*Monatswerte!FX20/Erwerbspersonen!$E21</f>
        <v>2.4449161847595344</v>
      </c>
      <c r="FY20" s="21">
        <f>100*Monatswerte!FY20/Erwerbspersonen!$E21</f>
        <v>2.5034770514603615</v>
      </c>
      <c r="FZ20" s="21">
        <f>100*Monatswerte!FZ20/Erwerbspersonen!$E21</f>
        <v>2.803601493302101</v>
      </c>
      <c r="GA20" s="25">
        <f>100*Monatswerte!GA20/Erwerbspersonen!$E21</f>
        <v>2.7962813849644976</v>
      </c>
      <c r="GB20" s="21">
        <f>100*Monatswerte!GB20/Erwerbspersonen!$E21</f>
        <v>2.7743210599516872</v>
      </c>
      <c r="GC20" s="21">
        <f>100*Monatswerte!GC20/Erwerbspersonen!$E21</f>
        <v>2.5766781348363956</v>
      </c>
      <c r="GD20" s="21">
        <f>100*Monatswerte!GD20/Erwerbspersonen!$E21</f>
        <v>2.3717151013835003</v>
      </c>
      <c r="GE20" s="21">
        <f>100*Monatswerte!GE20/Erwerbspersonen!$E21</f>
        <v>2.2033526096186224</v>
      </c>
      <c r="GF20" s="21">
        <f>100*Monatswerte!GF20/Erwerbspersonen!$E21</f>
        <v>2.1667520679306054</v>
      </c>
      <c r="GG20" s="21">
        <f>100*Monatswerte!GG20/Erwerbspersonen!$E21</f>
        <v>2.1960325012810191</v>
      </c>
      <c r="GH20" s="21">
        <f>100*Monatswerte!GH20/Erwerbspersonen!$E21</f>
        <v>2.3936754263963107</v>
      </c>
      <c r="GI20" s="21">
        <f>100*Monatswerte!GI20/Erwerbspersonen!$E21</f>
        <v>2.5547178098235852</v>
      </c>
      <c r="GJ20" s="21">
        <f>100*Monatswerte!GJ20/Erwerbspersonen!$E21</f>
        <v>2.5547178098235852</v>
      </c>
      <c r="GK20" s="21">
        <f>100*Monatswerte!GK20/Erwerbspersonen!$E21</f>
        <v>2.7157601932508602</v>
      </c>
      <c r="GL20" s="21">
        <f>100*Monatswerte!GL20/Erwerbspersonen!$E21</f>
        <v>3.08176561013103</v>
      </c>
      <c r="GM20" s="25">
        <f>100*Monatswerte!GM20/Erwerbspersonen!$F21</f>
        <v>3.3782962960450664</v>
      </c>
      <c r="GN20" s="21">
        <f>100*Monatswerte!GN20/Erwerbspersonen!$F21</f>
        <v>3.3018642531481195</v>
      </c>
      <c r="GO20" s="21">
        <f>100*Monatswerte!GO20/Erwerbspersonen!$F21</f>
        <v>3.7833861233988868</v>
      </c>
      <c r="GP20" s="21">
        <f>100*Monatswerte!GP20/Erwerbspersonen!$F21</f>
        <v>4.1120439078557594</v>
      </c>
      <c r="GQ20" s="21">
        <f>100*Monatswerte!GQ20/Erwerbspersonen!$F21</f>
        <v>4.2419783807805702</v>
      </c>
      <c r="GR20" s="21">
        <f>100*Monatswerte!GR20/Erwerbspersonen!$F21</f>
        <v>4.234335176490875</v>
      </c>
      <c r="GS20" s="21">
        <f>100*Monatswerte!GS20/Erwerbspersonen!$F21</f>
        <v>4.0126822520897285</v>
      </c>
      <c r="GT20" s="21">
        <f>100*Monatswerte!GT20/Erwerbspersonen!$F21</f>
        <v>4.524776939499275</v>
      </c>
      <c r="GU20" s="21">
        <f>100*Monatswerte!GU20/Erwerbspersonen!$F21</f>
        <v>4.5477065523683589</v>
      </c>
      <c r="GV20" s="21">
        <f>100*Monatswerte!GV20/Erwerbspersonen!$F21</f>
        <v>4.7464298639004214</v>
      </c>
      <c r="GW20" s="21">
        <f>100*Monatswerte!GW20/Erwerbspersonen!$F21</f>
        <v>4.6164953909756115</v>
      </c>
      <c r="GX20" s="27">
        <f>100*Monatswerte!GX20/Erwerbspersonen!$F21</f>
        <v>5.1668060998336314</v>
      </c>
      <c r="GY20" s="21">
        <f>100*Monatswerte!GY20/Erwerbspersonen!$F21</f>
        <v>5.5795391314771461</v>
      </c>
      <c r="GZ20" s="21">
        <f>100*Monatswerte!GZ20/Erwerbspersonen!$F21</f>
        <v>5.6330415615050091</v>
      </c>
      <c r="HA20" s="21">
        <f>100*Monatswerte!HA20/Erwerbspersonen!$F21</f>
        <v>5.2661677555996622</v>
      </c>
      <c r="HB20" s="21">
        <f>100*Monatswerte!HB20/Erwerbspersonen!$F21</f>
        <v>4.8457915196664532</v>
      </c>
      <c r="HC20" s="21">
        <f>100*Monatswerte!HC20/Erwerbspersonen!$F21</f>
        <v>4.5859225738168323</v>
      </c>
      <c r="HD20" s="21">
        <f>100*Monatswerte!HD20/Erwerbspersonen!$F21</f>
        <v>4.3795560579950745</v>
      </c>
      <c r="HE20" s="21">
        <f>100*Monatswerte!HE20/Erwerbspersonen!$F21</f>
        <v>4.2037623593320967</v>
      </c>
      <c r="HF20" s="21">
        <f>100*Monatswerte!HF20/Erwerbspersonen!$F21</f>
        <v>4.3719128537053802</v>
      </c>
      <c r="HG20" s="21">
        <f>100*Monatswerte!HG20/Erwerbspersonen!$F21</f>
        <v>3.8521749620061394</v>
      </c>
      <c r="HH20" s="21">
        <f>100*Monatswerte!HH20/Erwerbspersonen!$F21</f>
        <v>3.5923060161565186</v>
      </c>
      <c r="HI20" s="21">
        <f>100*Monatswerte!HI20/Erwerbspersonen!$F21</f>
        <v>3.5617331989977399</v>
      </c>
      <c r="HJ20" s="21">
        <f>100*Monatswerte!HJ20/Erwerbspersonen!$F21</f>
        <v>3.8368885534267498</v>
      </c>
      <c r="HK20" s="60">
        <f>100*Monatswerte!HK20/Erwerbspersonen!$F21</f>
        <v>3.7910293276885816</v>
      </c>
      <c r="HL20" s="3">
        <f>100*Monatswerte!HL20/Erwerbspersonen!$F21</f>
        <v>3.4700147475214034</v>
      </c>
      <c r="HM20" s="3">
        <f>100*Monatswerte!HM20/Erwerbspersonen!$F21</f>
        <v>3.1719297802233091</v>
      </c>
      <c r="HN20" s="3">
        <f>100*Monatswerte!HN20/Erwerbspersonen!$F21</f>
        <v>3.1872161888026986</v>
      </c>
      <c r="HO20" s="3">
        <f>100*Monatswerte!HO20/Erwerbspersonen!$F21</f>
        <v>2.9655632644015517</v>
      </c>
      <c r="HP20" s="3">
        <f>100*Monatswerte!HP20/Erwerbspersonen!$F21</f>
        <v>2.8050559743179626</v>
      </c>
      <c r="HQ20" s="3">
        <f>100*Monatswerte!HQ20/Erwerbspersonen!$F21</f>
        <v>2.8279855871870465</v>
      </c>
      <c r="HR20" s="3">
        <f>100*Monatswerte!HR20/Erwerbspersonen!$F21</f>
        <v>2.8814880172149095</v>
      </c>
      <c r="HS20" s="3">
        <f>100*Monatswerte!HS20/Erwerbspersonen!$F21</f>
        <v>2.8814880172149095</v>
      </c>
      <c r="HT20" s="3">
        <f>100*Monatswerte!HT20/Erwerbspersonen!$F21</f>
        <v>2.5604734370477313</v>
      </c>
      <c r="HU20" s="3">
        <f>100*Monatswerte!HU20/Erwerbspersonen!$F21</f>
        <v>2.6369054799446787</v>
      </c>
      <c r="HV20" s="64">
        <f>100*Monatswerte!HV20/Erwerbspersonen!$F21</f>
        <v>3.1337137587748356</v>
      </c>
      <c r="HW20" s="3">
        <f>100*[5]Monatswerte!HW20/[5]Erwerbspersonen!$F21</f>
        <v>3.118427350195446</v>
      </c>
      <c r="HX20" s="3">
        <f>100*[5]Monatswerte!HX20/[5]Erwerbspersonen!$F21</f>
        <v>3.0343521030088039</v>
      </c>
      <c r="HY20" s="3">
        <f>100*[5]Monatswerte!HY20/[5]Erwerbspersonen!$F21</f>
        <v>2.7821263614488783</v>
      </c>
      <c r="HZ20" s="3">
        <f>100*[5]Monatswerte!HZ20/[5]Erwerbspersonen!$F21</f>
        <v>2.7209807271313204</v>
      </c>
      <c r="IA20" s="3">
        <f>100*[5]Monatswerte!IA20/[5]Erwerbspersonen!$F21</f>
        <v>2.4228957598332266</v>
      </c>
      <c r="IB20" s="3">
        <f>100*[5]Monatswerte!IB20/[5]Erwerbspersonen!$F21</f>
        <v>2.354106921225974</v>
      </c>
      <c r="IC20" s="3">
        <f>100*[5]Monatswerte!IC20/[5]Erwerbspersonen!$F21</f>
        <v>2.4228957598332266</v>
      </c>
      <c r="ID20" s="3">
        <f>100*[5]Monatswerte!ID20/[5]Erwerbspersonen!$F21</f>
        <v>2.5375438241786474</v>
      </c>
      <c r="IE20" s="3">
        <f>100*[5]Monatswerte!IE20/[5]Erwerbspersonen!$F21</f>
        <v>2.4687549855713948</v>
      </c>
      <c r="IF20" s="3">
        <f>100*[5]Monatswerte!IF20/[5]Erwerbspersonen!$F21</f>
        <v>2.7286239314210152</v>
      </c>
      <c r="IG20" s="3">
        <f>100*[5]Monatswerte!IG20/[5]Erwerbspersonen!$F21</f>
        <v>2.9197040386633835</v>
      </c>
      <c r="IH20" s="3">
        <f>100*[5]Monatswerte!IH20/[5]Erwerbspersonen!$F21</f>
        <v>3.340080274596593</v>
      </c>
      <c r="II20" s="60">
        <f>100*[6]Monatswerte!II20/[6]Erwerbspersonen!$G21</f>
        <v>3.3234861246280412</v>
      </c>
      <c r="IJ20" s="3">
        <f>100*[6]Monatswerte!IJ20/[6]Erwerbspersonen!$G21</f>
        <v>3.1576722832691582</v>
      </c>
      <c r="IK20" s="3">
        <f>100*[6]Monatswerte!IK20/[6]Erwerbspersonen!$G21</f>
        <v>3.2513931501241791</v>
      </c>
      <c r="IL20" s="3">
        <f>100*[6]Monatswerte!IL20/[6]Erwerbspersonen!$G21</f>
        <v>3.150462985818772</v>
      </c>
      <c r="IM20" s="3">
        <f>100*[6]Monatswerte!IM20/[6]Erwerbspersonen!$G21</f>
        <v>3.1648815807195447</v>
      </c>
      <c r="IN20" s="3">
        <f>100*[6]Monatswerte!IN20/[6]Erwerbspersonen!$G21</f>
        <v>3.1648815807195447</v>
      </c>
      <c r="IO20" s="3">
        <f>100*[6]Monatswerte!IO20/[6]Erwerbspersonen!$G21</f>
        <v>3.1432536883683859</v>
      </c>
      <c r="IP20" s="3">
        <f>100*[6]Monatswerte!IP20/[6]Erwerbspersonen!$G21</f>
        <v>3.2441838526737929</v>
      </c>
      <c r="IQ20" s="3">
        <f>100*[6]Monatswerte!IQ20/[6]Erwerbspersonen!$G21</f>
        <v>3.3090675297272689</v>
      </c>
      <c r="IR20" s="3">
        <f>100*[6]Monatswerte!IR20/[6]Erwerbspersonen!$G21</f>
        <v>3.4099976940326755</v>
      </c>
      <c r="IS20" s="3">
        <f>100*[6]Monatswerte!IS20/[6]Erwerbspersonen!$G21</f>
        <v>3.5830208328419446</v>
      </c>
      <c r="IT20" s="3">
        <f>100*[6]Monatswerte!IT20/[6]Erwerbspersonen!$G21</f>
        <v>3.9867414900635723</v>
      </c>
      <c r="IU20" s="60">
        <f>100*[7]Monatswerte!IU20/[7]Erwerbspersonen!$G21</f>
        <v>4.3111598753309517</v>
      </c>
      <c r="IV20" s="3">
        <f>100*[7]Monatswerte!IV20/[7]Erwerbspersonen!$G21</f>
        <v>4.4048807421859717</v>
      </c>
      <c r="IW20" s="3">
        <f>100*[7]Monatswerte!IW20/[7]Erwerbspersonen!$G21</f>
        <v>4.4553458243386759</v>
      </c>
      <c r="IX20" s="3">
        <f>100*[7]Monatswerte!IX20/[7]Erwerbspersonen!$G21</f>
        <v>4.3832528498348138</v>
      </c>
      <c r="IY20" s="3">
        <f>100*[7]Monatswerte!IY20/[7]Erwerbspersonen!$G21</f>
        <v>4.195811116124772</v>
      </c>
      <c r="IZ20" s="3">
        <f>100*[7]Monatswerte!IZ20/[7]Erwerbspersonen!$G21</f>
        <v>4.2030204135751585</v>
      </c>
      <c r="JA20" s="3">
        <f>100*[7]Monatswerte!JA20/[7]Erwerbspersonen!$G21</f>
        <v>4.231857603376703</v>
      </c>
      <c r="JB20" s="3">
        <f>100*[7]Monatswerte!JB20/[7]Erwerbspersonen!$G21</f>
        <v>4.2679040906286341</v>
      </c>
      <c r="JC20" s="3">
        <f>100*[7]Monatswerte!JC20/[7]Erwerbspersonen!$G21</f>
        <v>3.9723228951627996</v>
      </c>
      <c r="JD20" s="3">
        <f>100*[7]Monatswerte!JD20/[7]Erwerbspersonen!$G21</f>
        <v>4.06604376201782</v>
      </c>
      <c r="JE20" s="3">
        <f>100*[7]Monatswerte!JE20/[7]Erwerbspersonen!$G21</f>
        <v>4.2246483059263173</v>
      </c>
      <c r="JF20" s="3">
        <f>100*[7]Monatswerte!JF20/[7]Erwerbspersonen!$G21</f>
        <v>4.4265086345371305</v>
      </c>
      <c r="JG20" s="60">
        <f>100*[7]Monatswerte!JG20/[7]Erwerbspersonen!$G21</f>
        <v>4.786973507056441</v>
      </c>
      <c r="JH20" s="3">
        <f>100*[7]Monatswerte!JH20/[7]Erwerbspersonen!$G21</f>
        <v>4.8158106968579855</v>
      </c>
      <c r="JI20" s="3">
        <f>100*[7]Monatswerte!JI20/[7]Erwerbspersonen!$G21</f>
        <v>4.563485286094469</v>
      </c>
    </row>
    <row r="21" spans="1:269" s="1" customFormat="1" x14ac:dyDescent="0.2">
      <c r="A21" s="1" t="s">
        <v>32</v>
      </c>
      <c r="B21" s="1">
        <v>16</v>
      </c>
      <c r="C21" s="21">
        <f>100*Monatswerte!C21/Erwerbspersonen!$B22</f>
        <v>3.7023970115181073</v>
      </c>
      <c r="D21" s="21">
        <f>100*Monatswerte!D21/Erwerbspersonen!$B22</f>
        <v>3.7231503579952268</v>
      </c>
      <c r="E21" s="21">
        <f>100*Monatswerte!E21/Erwerbspersonen!$B22</f>
        <v>3.5591989208259833</v>
      </c>
      <c r="F21" s="21">
        <f>100*Monatswerte!F21/Erwerbspersonen!$B22</f>
        <v>3.486562208156065</v>
      </c>
      <c r="G21" s="21">
        <f>100*Monatswerte!G21/Erwerbspersonen!$B22</f>
        <v>3.2748780740894468</v>
      </c>
      <c r="H21" s="21">
        <f>100*Monatswerte!H21/Erwerbspersonen!$B22</f>
        <v>3.2188440386012243</v>
      </c>
      <c r="I21" s="21">
        <f>100*Monatswerte!I21/Erwerbspersonen!$B22</f>
        <v>3.2686520701463109</v>
      </c>
      <c r="J21" s="21">
        <f>100*Monatswerte!J21/Erwerbspersonen!$B22</f>
        <v>3.4533568537926742</v>
      </c>
      <c r="K21" s="21">
        <f>100*Monatswerte!K21/Erwerbspersonen!$B22</f>
        <v>3.3869461450658918</v>
      </c>
      <c r="L21" s="21">
        <f>100*Monatswerte!L21/Erwerbspersonen!$B22</f>
        <v>3.2126180346580888</v>
      </c>
      <c r="M21" s="21">
        <f>100*Monatswerte!M21/Erwerbspersonen!$B22</f>
        <v>3.3122340977482621</v>
      </c>
      <c r="N21" s="27">
        <f>100*Monatswerte!N21/Erwerbspersonen!$B22</f>
        <v>3.4761855349175055</v>
      </c>
      <c r="O21" s="21">
        <f>100*Monatswerte!O21/Erwerbspersonen!$B22</f>
        <v>3.6608903185638684</v>
      </c>
      <c r="P21" s="21">
        <f>100*Monatswerte!P21/Erwerbspersonen!$B22</f>
        <v>3.6920203382795478</v>
      </c>
      <c r="Q21" s="21">
        <f>100*Monatswerte!Q21/Erwerbspersonen!$B22</f>
        <v>3.6318356334959012</v>
      </c>
      <c r="R21" s="21">
        <f>100*Monatswerte!R21/Erwerbspersonen!$B22</f>
        <v>3.3350627788730933</v>
      </c>
      <c r="S21" s="21">
        <f>100*Monatswerte!S21/Erwerbspersonen!$B22</f>
        <v>2.6252983293556085</v>
      </c>
      <c r="T21" s="21">
        <f>100*Monatswerte!T21/Erwerbspersonen!$B22</f>
        <v>3.2914807512711426</v>
      </c>
      <c r="U21" s="21">
        <f>100*Monatswerte!U21/Erwerbspersonen!$B22</f>
        <v>3.1897893535332571</v>
      </c>
      <c r="V21" s="21">
        <f>100*Monatswerte!V21/Erwerbspersonen!$B22</f>
        <v>3.3205354363391097</v>
      </c>
      <c r="W21" s="21">
        <f>100*Monatswerte!W21/Erwerbspersonen!$B22</f>
        <v>3.3807201411227559</v>
      </c>
      <c r="X21" s="21">
        <f>100*Monatswerte!X21/Erwerbspersonen!$B22</f>
        <v>3.3412887828162292</v>
      </c>
      <c r="Y21" s="21">
        <f>100*Monatswerte!Y21/Erwerbspersonen!$B22</f>
        <v>3.4699595309743696</v>
      </c>
      <c r="Z21" s="27">
        <f>100*Monatswerte!Z21/Erwerbspersonen!$B22</f>
        <v>3.5446715782919997</v>
      </c>
      <c r="AA21" s="21">
        <f>100*Monatswerte!AA21/Erwerbspersonen!$B22</f>
        <v>3.7688077202448893</v>
      </c>
      <c r="AB21" s="21">
        <f>100*Monatswerte!AB21/Erwerbspersonen!$B22</f>
        <v>3.6214589602573417</v>
      </c>
      <c r="AC21" s="21">
        <f>100*Monatswerte!AC21/Erwerbspersonen!$B22</f>
        <v>3.4492061844972501</v>
      </c>
      <c r="AD21" s="21">
        <f>100*Monatswerte!AD21/Erwerbspersonen!$B22</f>
        <v>3.2354467157829201</v>
      </c>
      <c r="AE21" s="21">
        <f>100*Monatswerte!AE21/Erwerbspersonen!$B22</f>
        <v>2.9199958493307046</v>
      </c>
      <c r="AF21" s="21">
        <f>100*Monatswerte!AF21/Erwerbspersonen!$B22</f>
        <v>2.7415170696274775</v>
      </c>
      <c r="AG21" s="21">
        <f>100*Monatswerte!AG21/Erwerbspersonen!$B22</f>
        <v>2.6605790183667115</v>
      </c>
      <c r="AH21" s="21">
        <f>100*Monatswerte!AH21/Erwerbspersonen!$B22</f>
        <v>2.7767977586385806</v>
      </c>
      <c r="AI21" s="21">
        <f>100*Monatswerte!AI21/Erwerbspersonen!$B22</f>
        <v>2.7083117152640863</v>
      </c>
      <c r="AJ21" s="21">
        <f>100*Monatswerte!AJ21/Erwerbspersonen!$B22</f>
        <v>2.6377503372418802</v>
      </c>
      <c r="AK21" s="21">
        <f>100*Monatswerte!AK21/Erwerbspersonen!$B22</f>
        <v>2.5671889592196742</v>
      </c>
      <c r="AL21" s="27">
        <f>100*Monatswerte!AL21/Erwerbspersonen!$B22</f>
        <v>2.6771816955484073</v>
      </c>
      <c r="AM21" s="21">
        <f>100*Monatswerte!AM21/Erwerbspersonen!$B22</f>
        <v>2.7871744318771401</v>
      </c>
      <c r="AN21" s="21">
        <f>100*Monatswerte!AN21/Erwerbspersonen!$B22</f>
        <v>2.7145377192072222</v>
      </c>
      <c r="AO21" s="21">
        <f>100*Monatswerte!AO21/Erwerbspersonen!$B22</f>
        <v>2.6169969907647608</v>
      </c>
      <c r="AP21" s="21">
        <f>100*Monatswerte!AP21/Erwerbspersonen!$B22</f>
        <v>2.3783335062778872</v>
      </c>
      <c r="AQ21" s="21">
        <f>100*Monatswerte!AQ21/Erwerbspersonen!$B22</f>
        <v>2.3513541558576319</v>
      </c>
      <c r="AR21" s="21">
        <f>100*Monatswerte!AR21/Erwerbspersonen!$B22</f>
        <v>2.2870187817785617</v>
      </c>
      <c r="AS21" s="21">
        <f>100*Monatswerte!AS21/Erwerbspersonen!$B22</f>
        <v>2.3389021479713605</v>
      </c>
      <c r="AT21" s="21">
        <f>100*Monatswerte!AT21/Erwerbspersonen!$B22</f>
        <v>2.4343675417661097</v>
      </c>
      <c r="AU21" s="21">
        <f>100*Monatswerte!AU21/Erwerbspersonen!$B22</f>
        <v>2.3306008093805124</v>
      </c>
      <c r="AV21" s="21">
        <f>100*Monatswerte!AV21/Erwerbspersonen!$B22</f>
        <v>2.2496627581197468</v>
      </c>
      <c r="AW21" s="21">
        <f>100*Monatswerte!AW21/Erwerbspersonen!$B22</f>
        <v>2.4468195496523815</v>
      </c>
      <c r="AX21" s="27">
        <f>100*Monatswerte!AX21/Erwerbspersonen!$B22</f>
        <v>2.5526616166856906</v>
      </c>
      <c r="AY21" s="21">
        <f>100*Monatswerte!AY21/Erwerbspersonen!$C22</f>
        <v>2.3558505792008329</v>
      </c>
      <c r="AZ21" s="21">
        <f>100*Monatswerte!AZ21/Erwerbspersonen!$C22</f>
        <v>2.210817946858556</v>
      </c>
      <c r="BA21" s="21">
        <f>100*Monatswerte!BA21/Erwerbspersonen!$C22</f>
        <v>2.1810676633011656</v>
      </c>
      <c r="BB21" s="21">
        <f>100*Monatswerte!BB21/Erwerbspersonen!$C22</f>
        <v>2.0825198490173111</v>
      </c>
      <c r="BC21" s="21">
        <f>100*Monatswerte!BC21/Erwerbspersonen!$C22</f>
        <v>1.8872836131719379</v>
      </c>
      <c r="BD21" s="21">
        <f>100*Monatswerte!BD21/Erwerbspersonen!$C22</f>
        <v>1.7868764061657463</v>
      </c>
      <c r="BE21" s="21">
        <f>100*Monatswerte!BE21/Erwerbspersonen!$C22</f>
        <v>1.8556739368922111</v>
      </c>
      <c r="BF21" s="21">
        <f>100*Monatswerte!BF21/Erwerbspersonen!$C22</f>
        <v>1.9114557185623176</v>
      </c>
      <c r="BG21" s="21">
        <f>100*Monatswerte!BG21/Erwerbspersonen!$C22</f>
        <v>1.8482363660028636</v>
      </c>
      <c r="BH21" s="21">
        <f>100*Monatswerte!BH21/Erwerbspersonen!$C22</f>
        <v>1.9263308603410125</v>
      </c>
      <c r="BI21" s="21">
        <f>100*Monatswerte!BI21/Erwerbspersonen!$C22</f>
        <v>2.0657853145162788</v>
      </c>
      <c r="BJ21" s="27">
        <f>100*Monatswerte!BJ21/Erwerbspersonen!$C22</f>
        <v>2.3763038991465386</v>
      </c>
      <c r="BK21" s="21">
        <f>100*Monatswerte!BK21/Erwerbspersonen!$C22</f>
        <v>2.6812443056097877</v>
      </c>
      <c r="BL21" s="21">
        <f>100*Monatswerte!BL21/Erwerbspersonen!$C22</f>
        <v>2.8114017961733699</v>
      </c>
      <c r="BM21" s="21">
        <f>100*Monatswerte!BM21/Erwerbspersonen!$C22</f>
        <v>2.9601532139603206</v>
      </c>
      <c r="BN21" s="21">
        <f>100*Monatswerte!BN21/Erwerbspersonen!$C22</f>
        <v>3.0940294899685763</v>
      </c>
      <c r="BO21" s="21">
        <f>100*Monatswerte!BO21/Erwerbspersonen!$C22</f>
        <v>3.1200609880812928</v>
      </c>
      <c r="BP21" s="21">
        <f>100*Monatswerte!BP21/Erwerbspersonen!$C22</f>
        <v>3.4603298562689426</v>
      </c>
      <c r="BQ21" s="21">
        <f>100*Monatswerte!BQ21/Erwerbspersonen!$C22</f>
        <v>3.6016437031665456</v>
      </c>
      <c r="BR21" s="21">
        <f>100*Monatswerte!BR21/Erwerbspersonen!$C22</f>
        <v>3.6760194120600214</v>
      </c>
      <c r="BS21" s="21">
        <f>100*Monatswerte!BS21/Erwerbspersonen!$C22</f>
        <v>3.7318011937301279</v>
      </c>
      <c r="BT21" s="21">
        <f>100*Monatswerte!BT21/Erwerbspersonen!$C22</f>
        <v>3.7857235826778974</v>
      </c>
      <c r="BU21" s="21">
        <f>100*Monatswerte!BU21/Erwerbspersonen!$C22</f>
        <v>3.7634108700098547</v>
      </c>
      <c r="BV21" s="27">
        <f>100*Monatswerte!BV21/Erwerbspersonen!$C22</f>
        <v>3.9028653241851212</v>
      </c>
      <c r="BW21" s="21">
        <f>100*Monatswerte!BW21/Erwerbspersonen!$C22</f>
        <v>3.9660846767445754</v>
      </c>
      <c r="BX21" s="21">
        <f>100*Monatswerte!BX21/Erwerbspersonen!$C22</f>
        <v>4.0144288875253347</v>
      </c>
      <c r="BY21" s="21">
        <f>100*Monatswerte!BY21/Erwerbspersonen!$C22</f>
        <v>3.8861307896840893</v>
      </c>
      <c r="BZ21" s="21">
        <f>100*Monatswerte!BZ21/Erwerbspersonen!$C22</f>
        <v>3.5830497759431768</v>
      </c>
      <c r="CA21" s="21">
        <f>100*Monatswerte!CA21/Erwerbspersonen!$C22</f>
        <v>3.4194232163775311</v>
      </c>
      <c r="CB21" s="21">
        <f>100*Monatswerte!CB21/Erwerbspersonen!$C22</f>
        <v>3.3134378312043289</v>
      </c>
      <c r="CC21" s="21">
        <f>100*Monatswerte!CC21/Erwerbspersonen!$C22</f>
        <v>3.2650936204235697</v>
      </c>
      <c r="CD21" s="21">
        <f>100*Monatswerte!CD21/Erwerbspersonen!$C22</f>
        <v>3.1516706643610197</v>
      </c>
      <c r="CE21" s="21">
        <f>100*Monatswerte!CE21/Erwerbspersonen!$C22</f>
        <v>2.9824659266283633</v>
      </c>
      <c r="CF21" s="21">
        <f>100*Monatswerte!CF21/Erwerbspersonen!$C22</f>
        <v>2.906230825012551</v>
      </c>
      <c r="CG21" s="21">
        <f>100*Monatswerte!CG21/Erwerbspersonen!$C22</f>
        <v>2.7909484762276642</v>
      </c>
      <c r="CH21" s="27">
        <f>100*Monatswerte!CH21/Erwerbspersonen!$C22</f>
        <v>2.9545750357933098</v>
      </c>
      <c r="CI21" s="21">
        <f>100*Monatswerte!CI21/Erwerbspersonen!$C22</f>
        <v>3.0066380320187425</v>
      </c>
      <c r="CJ21" s="21">
        <f>100*Monatswerte!CJ21/Erwerbspersonen!$C22</f>
        <v>2.8151205816180433</v>
      </c>
      <c r="CK21" s="21">
        <f>100*Monatswerte!CK21/Erwerbspersonen!$C22</f>
        <v>2.5696807422695747</v>
      </c>
      <c r="CL21" s="21">
        <f>100*Monatswerte!CL21/Erwerbspersonen!$C22</f>
        <v>2.3019281902530633</v>
      </c>
      <c r="CM21" s="21">
        <f>100*Monatswerte!CM21/Erwerbspersonen!$C22</f>
        <v>2.0788010635726373</v>
      </c>
      <c r="CN21" s="21">
        <f>100*Monatswerte!CN21/Erwerbspersonen!$C22</f>
        <v>2.0825198490173111</v>
      </c>
      <c r="CO21" s="21">
        <f>100*Monatswerte!CO21/Erwerbspersonen!$C22</f>
        <v>2.0081441401238354</v>
      </c>
      <c r="CP21" s="21">
        <f>100*Monatswerte!CP21/Erwerbspersonen!$C22</f>
        <v>2.1197077034640488</v>
      </c>
      <c r="CQ21" s="21">
        <f>100*Monatswerte!CQ21/Erwerbspersonen!$C22</f>
        <v>1.8872836131719379</v>
      </c>
      <c r="CR21" s="21">
        <f>100*Monatswerte!CR21/Erwerbspersonen!$C22</f>
        <v>1.8370800096688422</v>
      </c>
      <c r="CS21" s="21">
        <f>100*Monatswerte!CS21/Erwerbspersonen!$C22</f>
        <v>1.9226120748963389</v>
      </c>
      <c r="CT21" s="27">
        <f>100*Monatswerte!CT21/Erwerbspersonen!$C22</f>
        <v>2.1736300924118184</v>
      </c>
      <c r="CU21" s="21">
        <f>100*Monatswerte!CU21/Erwerbspersonen!$C22</f>
        <v>2.2591621576393148</v>
      </c>
      <c r="CV21" s="21">
        <f>100*Monatswerte!CV21/Erwerbspersonen!$C22</f>
        <v>2.2907718339190422</v>
      </c>
      <c r="CW21" s="21">
        <f>100*Monatswerte!CW21/Erwerbspersonen!$C22</f>
        <v>2.1104107398523642</v>
      </c>
      <c r="CX21" s="21">
        <f>100*Monatswerte!CX21/Erwerbspersonen!$C22</f>
        <v>2.0267380673472042</v>
      </c>
      <c r="CY21" s="21">
        <f>100*Monatswerte!CY21/Erwerbspersonen!$C22</f>
        <v>2.01744110373552</v>
      </c>
      <c r="CZ21" s="21">
        <f>100*Monatswerte!CZ21/Erwerbspersonen!$C22</f>
        <v>2.002565961956825</v>
      </c>
      <c r="DA21" s="21">
        <f>100*Monatswerte!DA21/Erwerbspersonen!$C22</f>
        <v>2.0360350309588888</v>
      </c>
      <c r="DB21" s="21">
        <f>100*Monatswerte!DB21/Erwerbspersonen!$C22</f>
        <v>2.1197077034640488</v>
      </c>
      <c r="DC21" s="21">
        <f>100*Monatswerte!DC21/Erwerbspersonen!$C22</f>
        <v>2.1513173797437757</v>
      </c>
      <c r="DD21" s="21">
        <f>100*Monatswerte!DD21/Erwerbspersonen!$C22</f>
        <v>2.2070991614138822</v>
      </c>
      <c r="DE21" s="21">
        <f>100*Monatswerte!DE21/Erwerbspersonen!$C22</f>
        <v>2.3502724010338225</v>
      </c>
      <c r="DF21" s="27">
        <f>100*Monatswerte!DF21/Erwerbspersonen!$C22</f>
        <v>2.6886818764991354</v>
      </c>
      <c r="DG21" s="21">
        <f>100*Monatswerte!DG21/Erwerbspersonen!$C22</f>
        <v>2.9248247522359199</v>
      </c>
      <c r="DH21" s="21">
        <f>100*Monatswerte!DH21/Erwerbspersonen!$C22</f>
        <v>2.8839181123445083</v>
      </c>
      <c r="DI21" s="21">
        <f>100*Monatswerte!DI21/Erwerbspersonen!$C22</f>
        <v>2.6589315929417454</v>
      </c>
      <c r="DJ21" s="21">
        <f>100*Monatswerte!DJ21/Erwerbspersonen!$C22</f>
        <v>2.502742604265447</v>
      </c>
      <c r="DK21" s="21">
        <f>100*Monatswerte!DK21/Erwerbspersonen!$C22</f>
        <v>2.4413826444283298</v>
      </c>
      <c r="DL21" s="21">
        <f>100*Monatswerte!DL21/Erwerbspersonen!$C22</f>
        <v>2.3948978263699074</v>
      </c>
      <c r="DM21" s="21">
        <f>100*Monatswerte!DM21/Erwerbspersonen!$C22</f>
        <v>2.3075063684200741</v>
      </c>
      <c r="DN21" s="21">
        <f>100*Monatswerte!DN21/Erwerbspersonen!$C22</f>
        <v>2.3763038991465386</v>
      </c>
      <c r="DO21" s="21">
        <f>100*Monatswerte!DO21/Erwerbspersonen!$C22</f>
        <v>2.2498651940276306</v>
      </c>
      <c r="DP21" s="21">
        <f>100*Monatswerte!DP21/Erwerbspersonen!$C22</f>
        <v>2.1940834123575241</v>
      </c>
      <c r="DQ21" s="21">
        <f>100*Monatswerte!DQ21/Erwerbspersonen!$C22</f>
        <v>2.3112251538647479</v>
      </c>
      <c r="DR21" s="27">
        <f>100*Monatswerte!DR21/Erwerbspersonen!$C22</f>
        <v>2.4748517134303936</v>
      </c>
      <c r="DS21" s="21">
        <f>100*Monatswerte!DS21/Erwerbspersonen!$D22</f>
        <v>2.5478973153466105</v>
      </c>
      <c r="DT21" s="21">
        <f>100*Monatswerte!DT21/Erwerbspersonen!$D22</f>
        <v>2.5534604099216027</v>
      </c>
      <c r="DU21" s="21">
        <f>100*Monatswerte!DU21/Erwerbspersonen!$D22</f>
        <v>2.3939850321051486</v>
      </c>
      <c r="DV21" s="21">
        <f>100*Monatswerte!DV21/Erwerbspersonen!$D22</f>
        <v>2.2159660057053854</v>
      </c>
      <c r="DW21" s="21">
        <f>100*Monatswerte!DW21/Erwerbspersonen!$D22</f>
        <v>2.0898691953388862</v>
      </c>
      <c r="DX21" s="21">
        <f>100*Monatswerte!DX21/Erwerbspersonen!$D22</f>
        <v>1.997150952422343</v>
      </c>
      <c r="DY21" s="21">
        <f>100*Monatswerte!DY21/Erwerbspersonen!$D22</f>
        <v>1.956354925539064</v>
      </c>
      <c r="DZ21" s="21">
        <f>100*Monatswerte!DZ21/Erwerbspersonen!$D22</f>
        <v>2.0305295198722986</v>
      </c>
      <c r="EA21" s="21">
        <f>100*Monatswerte!EA21/Erwerbspersonen!$D22</f>
        <v>2.0323838847306295</v>
      </c>
      <c r="EB21" s="21">
        <f>100*Monatswerte!EB21/Erwerbspersonen!$D22</f>
        <v>2.0639080873222539</v>
      </c>
      <c r="EC21" s="21">
        <f>100*Monatswerte!EC21/Erwerbspersonen!$D22</f>
        <v>2.052781898172269</v>
      </c>
      <c r="ED21" s="21">
        <f>100*Monatswerte!ED21/Erwerbspersonen!$D22</f>
        <v>2.3364997214968914</v>
      </c>
      <c r="EE21" s="25">
        <f>100*Monatswerte!EE21/Erwerbspersonen!$D22</f>
        <v>2.4329266941300967</v>
      </c>
      <c r="EF21" s="21">
        <f>100*Monatswerte!EF21/Erwerbspersonen!$D22</f>
        <v>2.4069655861134645</v>
      </c>
      <c r="EG21" s="21">
        <f>100*Monatswerte!EG21/Erwerbspersonen!$D22</f>
        <v>2.3420628160718842</v>
      </c>
      <c r="EH21" s="21">
        <f>100*Monatswerte!EH21/Erwerbspersonen!$D22</f>
        <v>2.316101708055252</v>
      </c>
      <c r="EI21" s="21">
        <f>100*Monatswerte!EI21/Erwerbspersonen!$D22</f>
        <v>2.2641794920219875</v>
      </c>
      <c r="EJ21" s="21">
        <f>100*Monatswerte!EJ21/Erwerbspersonen!$D22</f>
        <v>2.3068298837635974</v>
      </c>
      <c r="EK21" s="21">
        <f>100*Monatswerte!EK21/Erwerbspersonen!$D22</f>
        <v>2.3531890052218691</v>
      </c>
      <c r="EL21" s="21">
        <f>100*Monatswerte!EL21/Erwerbspersonen!$D22</f>
        <v>2.5293536667633014</v>
      </c>
      <c r="EM21" s="21">
        <f>100*Monatswerte!EM21/Erwerbspersonen!$D22</f>
        <v>2.4421985184217507</v>
      </c>
      <c r="EN21" s="21">
        <f>100*Monatswerte!EN21/Erwerbspersonen!$D22</f>
        <v>2.3754413835218395</v>
      </c>
      <c r="EO21" s="21">
        <f>100*Monatswerte!EO21/Erwerbspersonen!$D22</f>
        <v>2.4737227210133756</v>
      </c>
      <c r="EP21" s="21">
        <f>100*Monatswerte!EP21/Erwerbspersonen!$D22</f>
        <v>2.8983722735711441</v>
      </c>
      <c r="EQ21" s="25">
        <f>100*Monatswerte!EQ21/Erwerbspersonen!$D22</f>
        <v>3.0003623407793416</v>
      </c>
      <c r="ER21" s="21">
        <f>100*Monatswerte!ER21/Erwerbspersonen!$D22</f>
        <v>2.9669837733293862</v>
      </c>
      <c r="ES21" s="21">
        <f>100*Monatswerte!ES21/Erwerbspersonen!$D22</f>
        <v>2.881682989846166</v>
      </c>
      <c r="ET21" s="21">
        <f>100*Monatswerte!ET21/Erwerbspersonen!$D22</f>
        <v>2.7759841929213067</v>
      </c>
      <c r="EU21" s="21">
        <f>100*Monatswerte!EU21/Erwerbspersonen!$D22</f>
        <v>2.6721397608547783</v>
      </c>
      <c r="EV21" s="21">
        <f>100*Monatswerte!EV21/Erwerbspersonen!$D22</f>
        <v>2.5404798559132868</v>
      </c>
      <c r="EW21" s="21">
        <f>100*Monatswerte!EW21/Erwerbspersonen!$D22</f>
        <v>2.5312080316216323</v>
      </c>
      <c r="EX21" s="21">
        <f>100*Monatswerte!EX21/Erwerbspersonen!$D22</f>
        <v>2.8019453009379389</v>
      </c>
      <c r="EY21" s="21">
        <f>100*Monatswerte!EY21/Erwerbspersonen!$D22</f>
        <v>2.7722754632046449</v>
      </c>
      <c r="EZ21" s="21">
        <f>100*Monatswerte!EZ21/Erwerbspersonen!$D22</f>
        <v>2.7963822063629462</v>
      </c>
      <c r="FA21" s="21">
        <f>100*Monatswerte!FA21/Erwerbspersonen!$D22</f>
        <v>2.8260520440962402</v>
      </c>
      <c r="FB21" s="27">
        <f>100*Monatswerte!FB21/Erwerbspersonen!$D22</f>
        <v>3.1357309754374949</v>
      </c>
      <c r="FC21" s="21">
        <f>100*Monatswerte!FC21/Erwerbspersonen!$E22</f>
        <v>3.1093089673141288</v>
      </c>
      <c r="FD21" s="21">
        <f>100*Monatswerte!FD21/Erwerbspersonen!$E22</f>
        <v>3.0440910354600343</v>
      </c>
      <c r="FE21" s="21">
        <f>100*Monatswerte!FE21/Erwerbspersonen!$E22</f>
        <v>2.8554878271252204</v>
      </c>
      <c r="FF21" s="21">
        <f>100*Monatswerte!FF21/Erwerbspersonen!$E22</f>
        <v>2.7885072484642586</v>
      </c>
      <c r="FG21" s="21">
        <f>100*Monatswerte!FG21/Erwerbspersonen!$E22</f>
        <v>2.6686472655972739</v>
      </c>
      <c r="FH21" s="21">
        <f>100*Monatswerte!FH21/Erwerbspersonen!$E22</f>
        <v>2.5417366955028196</v>
      </c>
      <c r="FI21" s="21">
        <f>100*Monatswerte!FI21/Erwerbspersonen!$E22</f>
        <v>2.5769896316401679</v>
      </c>
      <c r="FJ21" s="21">
        <f>100*Monatswerte!FJ21/Erwerbspersonen!$E22</f>
        <v>2.716238729382694</v>
      </c>
      <c r="FK21" s="21">
        <f>100*Monatswerte!FK21/Erwerbspersonen!$E22</f>
        <v>2.4729934700349903</v>
      </c>
      <c r="FL21" s="21">
        <f>100*Monatswerte!FL21/Erwerbspersonen!$E22</f>
        <v>2.5487872827302893</v>
      </c>
      <c r="FM21" s="21">
        <f>100*Monatswerte!FM21/Erwerbspersonen!$E22</f>
        <v>2.5681763976058307</v>
      </c>
      <c r="FN21" s="21">
        <f>100*Monatswerte!FN21/Erwerbspersonen!$E22</f>
        <v>2.8466745930908832</v>
      </c>
      <c r="FO21" s="25">
        <f>100*Monatswerte!FO21/Erwerbspersonen!$E22</f>
        <v>2.8255228314084744</v>
      </c>
      <c r="FP21" s="21">
        <f>100*Monatswerte!FP21/Erwerbspersonen!$E22</f>
        <v>2.7321025506445009</v>
      </c>
      <c r="FQ21" s="21">
        <f>100*Monatswerte!FQ21/Erwerbspersonen!$E22</f>
        <v>2.9259936993999172</v>
      </c>
      <c r="FR21" s="21">
        <f>100*Monatswerte!FR21/Erwerbspersonen!$E22</f>
        <v>2.6651219719835391</v>
      </c>
      <c r="FS21" s="21">
        <f>100*Monatswerte!FS21/Erwerbspersonen!$E22</f>
        <v>2.4359778870907745</v>
      </c>
      <c r="FT21" s="21">
        <f>100*Monatswerte!FT21/Erwerbspersonen!$E22</f>
        <v>2.2755770276658391</v>
      </c>
      <c r="FU21" s="21">
        <f>100*Monatswerte!FU21/Erwerbspersonen!$E22</f>
        <v>2.2508999723696954</v>
      </c>
      <c r="FV21" s="21">
        <f>100*Monatswerte!FV21/Erwerbspersonen!$E22</f>
        <v>2.3108299638031875</v>
      </c>
      <c r="FW21" s="21">
        <f>100*Monatswerte!FW21/Erwerbspersonen!$E22</f>
        <v>2.2614758532108996</v>
      </c>
      <c r="FX21" s="21">
        <f>100*Monatswerte!FX21/Erwerbspersonen!$E22</f>
        <v>2.0957870533653624</v>
      </c>
      <c r="FY21" s="21">
        <f>100*Monatswerte!FY21/Erwerbspersonen!$E22</f>
        <v>2.1328026363095782</v>
      </c>
      <c r="FZ21" s="21">
        <f>100*Monatswerte!FZ21/Erwerbspersonen!$E22</f>
        <v>2.3266937850649945</v>
      </c>
      <c r="GA21" s="25">
        <f>100*Monatswerte!GA21/Erwerbspersonen!$E22</f>
        <v>2.3760478956572819</v>
      </c>
      <c r="GB21" s="21">
        <f>100*Monatswerte!GB21/Erwerbspersonen!$E22</f>
        <v>2.3513708403611382</v>
      </c>
      <c r="GC21" s="21">
        <f>100*Monatswerte!GC21/Erwerbspersonen!$E22</f>
        <v>2.2315108574941536</v>
      </c>
      <c r="GD21" s="21">
        <f>100*Monatswerte!GD21/Erwerbspersonen!$E22</f>
        <v>2.0570088236142792</v>
      </c>
      <c r="GE21" s="21">
        <f>100*Monatswerte!GE21/Erwerbspersonen!$E22</f>
        <v>1.984740304532715</v>
      </c>
      <c r="GF21" s="21">
        <f>100*Monatswerte!GF21/Erwerbspersonen!$E22</f>
        <v>1.8877947301550069</v>
      </c>
      <c r="GG21" s="21">
        <f>100*Monatswerte!GG21/Erwerbspersonen!$E22</f>
        <v>1.9248103130992227</v>
      </c>
      <c r="GH21" s="21">
        <f>100*Monatswerte!GH21/Erwerbspersonen!$E22</f>
        <v>1.9371488407472945</v>
      </c>
      <c r="GI21" s="21">
        <f>100*Monatswerte!GI21/Erwerbspersonen!$E22</f>
        <v>1.9230476662923552</v>
      </c>
      <c r="GJ21" s="21">
        <f>100*Monatswerte!GJ21/Erwerbspersonen!$E22</f>
        <v>2.048195589579942</v>
      </c>
      <c r="GK21" s="21">
        <f>100*Monatswerte!GK21/Erwerbspersonen!$E22</f>
        <v>2.1927326277430703</v>
      </c>
      <c r="GL21" s="21">
        <f>100*Monatswerte!GL21/Erwerbspersonen!$E22</f>
        <v>2.2879155553139112</v>
      </c>
      <c r="GM21" s="25">
        <f>100*Monatswerte!GM21/Erwerbspersonen!$F22</f>
        <v>2.4774619814290624</v>
      </c>
      <c r="GN21" s="21">
        <f>100*Monatswerte!GN21/Erwerbspersonen!$F22</f>
        <v>2.5045085096106026</v>
      </c>
      <c r="GO21" s="21">
        <f>100*Monatswerte!GO21/Erwerbspersonen!$F22</f>
        <v>2.8489009684555451</v>
      </c>
      <c r="GP21" s="21">
        <f>100*Monatswerte!GP21/Erwerbspersonen!$F22</f>
        <v>3.1193662502709447</v>
      </c>
      <c r="GQ21" s="21">
        <f>100*Monatswerte!GQ21/Erwerbspersonen!$F22</f>
        <v>3.2185368536032581</v>
      </c>
      <c r="GR21" s="21">
        <f>100*Monatswerte!GR21/Erwerbspersonen!$F22</f>
        <v>3.0851073145743273</v>
      </c>
      <c r="GS21" s="21">
        <f>100*Monatswerte!GS21/Erwerbspersonen!$F22</f>
        <v>3.1698531028764863</v>
      </c>
      <c r="GT21" s="21">
        <f>100*Monatswerte!GT21/Erwerbspersonen!$F22</f>
        <v>3.2906609287540314</v>
      </c>
      <c r="GU21" s="21">
        <f>100*Monatswerte!GU21/Erwerbspersonen!$F22</f>
        <v>3.1987027329367952</v>
      </c>
      <c r="GV21" s="21">
        <f>100*Monatswerte!GV21/Erwerbspersonen!$F22</f>
        <v>3.0526514807564795</v>
      </c>
      <c r="GW21" s="21">
        <f>100*Monatswerte!GW21/Erwerbspersonen!$F22</f>
        <v>3.0995321296044822</v>
      </c>
      <c r="GX21" s="27">
        <f>100*Monatswerte!GX21/Erwerbspersonen!$F22</f>
        <v>3.4673649128734261</v>
      </c>
      <c r="GY21" s="21">
        <f>100*Monatswerte!GY21/Erwerbspersonen!$F22</f>
        <v>3.6530844063866672</v>
      </c>
      <c r="GZ21" s="21">
        <f>100*Monatswerte!GZ21/Erwerbspersonen!$F22</f>
        <v>3.651281304507898</v>
      </c>
      <c r="HA21" s="21">
        <f>100*Monatswerte!HA21/Erwerbspersonen!$F22</f>
        <v>3.3681943095411127</v>
      </c>
      <c r="HB21" s="21">
        <f>100*Monatswerte!HB21/Erwerbspersonen!$F22</f>
        <v>3.2419771780272595</v>
      </c>
      <c r="HC21" s="21">
        <f>100*Monatswerte!HC21/Erwerbspersonen!$F22</f>
        <v>3.1464127784524849</v>
      </c>
      <c r="HD21" s="21">
        <f>100*Monatswerte!HD21/Erwerbspersonen!$F22</f>
        <v>2.9931491187570916</v>
      </c>
      <c r="HE21" s="21">
        <f>100*Monatswerte!HE21/Erwerbspersonen!$F22</f>
        <v>2.9156157379700103</v>
      </c>
      <c r="HF21" s="21">
        <f>100*Monatswerte!HF21/Erwerbspersonen!$F22</f>
        <v>2.9102064323337022</v>
      </c>
      <c r="HG21" s="21">
        <f>100*Monatswerte!HG21/Erwerbspersonen!$F22</f>
        <v>2.8056265233650808</v>
      </c>
      <c r="HH21" s="21">
        <f>100*Monatswerte!HH21/Erwerbspersonen!$F22</f>
        <v>2.7948079120924652</v>
      </c>
      <c r="HI21" s="21">
        <f>100*Monatswerte!HI21/Erwerbspersonen!$F22</f>
        <v>2.8236575421527741</v>
      </c>
      <c r="HJ21" s="21">
        <f>100*Monatswerte!HJ21/Erwerbspersonen!$F22</f>
        <v>3.0364235638475554</v>
      </c>
      <c r="HK21" s="60">
        <f>100*Monatswerte!HK21/Erwerbspersonen!$F22</f>
        <v>3.0815011108167889</v>
      </c>
      <c r="HL21" s="3">
        <f>100*Monatswerte!HL21/Erwerbspersonen!$F22</f>
        <v>3.0147863413023237</v>
      </c>
      <c r="HM21" s="3">
        <f>100*Monatswerte!HM21/Erwerbspersonen!$F22</f>
        <v>2.8416885609404674</v>
      </c>
      <c r="HN21" s="3">
        <f>100*Monatswerte!HN21/Erwerbspersonen!$F22</f>
        <v>2.6938342068813825</v>
      </c>
      <c r="HO21" s="3">
        <f>100*Monatswerte!HO21/Erwerbspersonen!$F22</f>
        <v>2.4450061476112146</v>
      </c>
      <c r="HP21" s="3">
        <f>100*Monatswerte!HP21/Erwerbspersonen!$F22</f>
        <v>2.2628928578555119</v>
      </c>
      <c r="HQ21" s="3">
        <f>100*Monatswerte!HQ21/Erwerbspersonen!$F22</f>
        <v>2.2556804503404346</v>
      </c>
      <c r="HR21" s="3">
        <f>100*Monatswerte!HR21/Erwerbspersonen!$F22</f>
        <v>2.3260014236124387</v>
      </c>
      <c r="HS21" s="3">
        <f>100*Monatswerte!HS21/Erwerbspersonen!$F22</f>
        <v>2.1925718845835078</v>
      </c>
      <c r="HT21" s="3">
        <f>100*Monatswerte!HT21/Erwerbspersonen!$F22</f>
        <v>2.1438881338567359</v>
      </c>
      <c r="HU21" s="3">
        <f>100*Monatswerte!HU21/Erwerbspersonen!$F22</f>
        <v>2.1312664207053507</v>
      </c>
      <c r="HV21" s="64">
        <f>100*Monatswerte!HV21/Erwerbspersonen!$F22</f>
        <v>2.3386231367638239</v>
      </c>
      <c r="HW21" s="3">
        <f>100*[5]Monatswerte!HW21/[5]Erwerbspersonen!$F22</f>
        <v>2.4233689250659824</v>
      </c>
      <c r="HX21" s="3">
        <f>100*[5]Monatswerte!HX21/[5]Erwerbspersonen!$F22</f>
        <v>2.4504154532475226</v>
      </c>
      <c r="HY21" s="3">
        <f>100*[5]Monatswerte!HY21/[5]Erwerbspersonen!$F22</f>
        <v>2.3296076273699771</v>
      </c>
      <c r="HZ21" s="3">
        <f>100*[5]Monatswerte!HZ21/[5]Erwerbspersonen!$F22</f>
        <v>2.2412556353102802</v>
      </c>
      <c r="IA21" s="3">
        <f>100*[5]Monatswerte!IA21/[5]Erwerbspersonen!$F22</f>
        <v>2.1943749864622775</v>
      </c>
      <c r="IB21" s="3">
        <f>100*[5]Monatswerte!IB21/[5]Erwerbspersonen!$F22</f>
        <v>2.0555361417970386</v>
      </c>
      <c r="IC21" s="3">
        <f>100*[5]Monatswerte!IC21/[5]Erwerbspersonen!$F22</f>
        <v>2.1078260962813493</v>
      </c>
      <c r="ID21" s="3">
        <f>100*[5]Monatswerte!ID21/[5]Erwerbspersonen!$F22</f>
        <v>2.1619191526444292</v>
      </c>
      <c r="IE21" s="3">
        <f>100*[5]Monatswerte!IE21/[5]Erwerbspersonen!$F22</f>
        <v>2.1312664207053507</v>
      </c>
      <c r="IF21" s="3">
        <f>100*[5]Monatswerte!IF21/[5]Erwerbspersonen!$F22</f>
        <v>2.0645516511908855</v>
      </c>
      <c r="IG21" s="3">
        <f>100*[5]Monatswerte!IG21/[5]Erwerbspersonen!$F22</f>
        <v>2.225027718401356</v>
      </c>
      <c r="IH21" s="3">
        <f>100*[5]Monatswerte!IH21/[5]Erwerbspersonen!$F22</f>
        <v>2.4972961020955253</v>
      </c>
      <c r="II21" s="60">
        <f>100*[6]Monatswerte!II21/[6]Erwerbspersonen!$G22</f>
        <v>2.6042156428827545</v>
      </c>
      <c r="IJ21" s="3">
        <f>100*[6]Monatswerte!IJ21/[6]Erwerbspersonen!$G22</f>
        <v>2.5468224606704624</v>
      </c>
      <c r="IK21" s="3">
        <f>100*[6]Monatswerte!IK21/[6]Erwerbspersonen!$G22</f>
        <v>2.4625262242961585</v>
      </c>
      <c r="IL21" s="3">
        <f>100*[6]Monatswerte!IL21/[6]Erwerbspersonen!$G22</f>
        <v>2.4338296331900127</v>
      </c>
      <c r="IM21" s="3">
        <f>100*[6]Monatswerte!IM21/[6]Erwerbspersonen!$G22</f>
        <v>2.4392102440224148</v>
      </c>
      <c r="IN21" s="3">
        <f>100*[6]Monatswerte!IN21/[6]Erwerbspersonen!$G22</f>
        <v>2.4786680567933659</v>
      </c>
      <c r="IO21" s="3">
        <f>100*[6]Monatswerte!IO21/[6]Erwerbspersonen!$G22</f>
        <v>2.6741635837039857</v>
      </c>
      <c r="IP21" s="3">
        <f>100*[6]Monatswerte!IP21/[6]Erwerbspersonen!$G22</f>
        <v>2.681337731480522</v>
      </c>
      <c r="IQ21" s="3">
        <f>100*[6]Monatswerte!IQ21/[6]Erwerbspersonen!$G22</f>
        <v>2.7172084703632047</v>
      </c>
      <c r="IR21" s="3">
        <f>100*[6]Monatswerte!IR21/[6]Erwerbspersonen!$G22</f>
        <v>2.8606914258939349</v>
      </c>
      <c r="IS21" s="3">
        <f>100*[6]Monatswerte!IS21/[6]Erwerbspersonen!$G22</f>
        <v>3.0005873075363971</v>
      </c>
      <c r="IT21" s="3">
        <f>100*[6]Monatswerte!IT21/[6]Erwerbspersonen!$G22</f>
        <v>3.2624437013799796</v>
      </c>
      <c r="IU21" s="60">
        <f>100*[7]Monatswerte!IU21/[7]Erwerbspersonen!$G22</f>
        <v>3.5763126666034522</v>
      </c>
      <c r="IV21" s="3">
        <f>100*[7]Monatswerte!IV21/[7]Erwerbspersonen!$G22</f>
        <v>3.6085963315978669</v>
      </c>
      <c r="IW21" s="3">
        <f>100*[7]Monatswerte!IW21/[7]Erwerbspersonen!$G22</f>
        <v>3.5422354646649037</v>
      </c>
      <c r="IX21" s="3">
        <f>100*[7]Monatswerte!IX21/[7]Erwerbspersonen!$G22</f>
        <v>3.3808171396928324</v>
      </c>
      <c r="IY21" s="3">
        <f>100*[7]Monatswerte!IY21/[7]Erwerbspersonen!$G22</f>
        <v>3.2624437013799796</v>
      </c>
      <c r="IZ21" s="3">
        <f>100*[7]Monatswerte!IZ21/[7]Erwerbspersonen!$G22</f>
        <v>3.3754365288604298</v>
      </c>
      <c r="JA21" s="3">
        <f>100*[7]Monatswerte!JA21/[7]Erwerbspersonen!$G22</f>
        <v>3.4023395830224419</v>
      </c>
      <c r="JB21" s="3">
        <f>100*[7]Monatswerte!JB21/[7]Erwerbspersonen!$G22</f>
        <v>3.4471780066257951</v>
      </c>
      <c r="JC21" s="3">
        <f>100*[7]Monatswerte!JC21/[7]Erwerbspersonen!$G22</f>
        <v>3.484842282452612</v>
      </c>
      <c r="JD21" s="3">
        <f>100*[7]Monatswerte!JD21/[7]Erwerbspersonen!$G22</f>
        <v>3.4310361741285877</v>
      </c>
      <c r="JE21" s="3">
        <f>100*[7]Monatswerte!JE21/[7]Erwerbspersonen!$G22</f>
        <v>3.4651133760671362</v>
      </c>
      <c r="JF21" s="3">
        <f>100*[7]Monatswerte!JF21/[7]Erwerbspersonen!$G22</f>
        <v>3.700066715748707</v>
      </c>
      <c r="JG21" s="60">
        <f>100*[7]Monatswerte!JG21/[7]Erwerbspersonen!$G22</f>
        <v>3.9278459076537415</v>
      </c>
      <c r="JH21" s="3">
        <f>100*[7]Monatswerte!JH21/[7]Erwerbspersonen!$G22</f>
        <v>3.8919751687710589</v>
      </c>
      <c r="JI21" s="3">
        <f>100*[7]Monatswerte!JI21/[7]Erwerbspersonen!$G22</f>
        <v>3.6372929227040127</v>
      </c>
    </row>
    <row r="22" spans="1:269" s="1" customFormat="1" x14ac:dyDescent="0.2">
      <c r="A22" s="1" t="s">
        <v>33</v>
      </c>
      <c r="B22" s="1">
        <v>17</v>
      </c>
      <c r="C22" s="21">
        <f>100*Monatswerte!C22/Erwerbspersonen!$B23</f>
        <v>3.4454358270418668</v>
      </c>
      <c r="D22" s="21">
        <f>100*Monatswerte!D22/Erwerbspersonen!$B23</f>
        <v>3.321894303363075</v>
      </c>
      <c r="E22" s="21">
        <f>100*Monatswerte!E22/Erwerbspersonen!$B23</f>
        <v>3.2120796156485931</v>
      </c>
      <c r="F22" s="21">
        <f>100*Monatswerte!F22/Erwerbspersonen!$B23</f>
        <v>2.9512697323266988</v>
      </c>
      <c r="G22" s="21">
        <f>100*Monatswerte!G22/Erwerbspersonen!$B23</f>
        <v>2.676733013040494</v>
      </c>
      <c r="H22" s="21">
        <f>100*Monatswerte!H22/Erwerbspersonen!$B23</f>
        <v>2.5120109814687717</v>
      </c>
      <c r="I22" s="21">
        <f>100*Monatswerte!I22/Erwerbspersonen!$B23</f>
        <v>2.7179135209334246</v>
      </c>
      <c r="J22" s="21">
        <f>100*Monatswerte!J22/Erwerbspersonen!$B23</f>
        <v>2.8140013726835966</v>
      </c>
      <c r="K22" s="21">
        <f>100*Monatswerte!K22/Erwerbspersonen!$B23</f>
        <v>2.7041866849691147</v>
      </c>
      <c r="L22" s="21">
        <f>100*Monatswerte!L22/Erwerbspersonen!$B23</f>
        <v>2.4433768016472204</v>
      </c>
      <c r="M22" s="21">
        <f>100*Monatswerte!M22/Erwerbspersonen!$B23</f>
        <v>2.5120109814687717</v>
      </c>
      <c r="N22" s="27">
        <f>100*Monatswerte!N22/Erwerbspersonen!$B23</f>
        <v>2.6492793411118738</v>
      </c>
      <c r="O22" s="21">
        <f>100*Monatswerte!O22/Erwerbspersonen!$B23</f>
        <v>2.6630061770761841</v>
      </c>
      <c r="P22" s="21">
        <f>100*Monatswerte!P22/Erwerbspersonen!$B23</f>
        <v>2.6630061770761841</v>
      </c>
      <c r="Q22" s="21">
        <f>100*Monatswerte!Q22/Erwerbspersonen!$B23</f>
        <v>2.676733013040494</v>
      </c>
      <c r="R22" s="21">
        <f>100*Monatswerte!R22/Erwerbspersonen!$B23</f>
        <v>2.5394646533973919</v>
      </c>
      <c r="S22" s="21">
        <f>100*Monatswerte!S22/Erwerbspersonen!$B23</f>
        <v>2.3747426218256691</v>
      </c>
      <c r="T22" s="21">
        <f>100*Monatswerte!T22/Erwerbspersonen!$B23</f>
        <v>2.1413864104323954</v>
      </c>
      <c r="U22" s="21">
        <f>100*Monatswerte!U22/Erwerbspersonen!$B23</f>
        <v>2.4571036376115307</v>
      </c>
      <c r="V22" s="21">
        <f>100*Monatswerte!V22/Erwerbspersonen!$B23</f>
        <v>2.5120109814687717</v>
      </c>
      <c r="W22" s="21">
        <f>100*Monatswerte!W22/Erwerbspersonen!$B23</f>
        <v>2.5257378174330816</v>
      </c>
      <c r="X22" s="21">
        <f>100*Monatswerte!X22/Erwerbspersonen!$B23</f>
        <v>2.4571036376115307</v>
      </c>
      <c r="Y22" s="21">
        <f>100*Monatswerte!Y22/Erwerbspersonen!$B23</f>
        <v>2.7728208647906656</v>
      </c>
      <c r="Z22" s="27">
        <f>100*Monatswerte!Z22/Erwerbspersonen!$B23</f>
        <v>2.5806451612903225</v>
      </c>
      <c r="AA22" s="21">
        <f>100*Monatswerte!AA22/Erwerbspersonen!$B23</f>
        <v>2.9238160603980781</v>
      </c>
      <c r="AB22" s="21">
        <f>100*Monatswerte!AB22/Erwerbspersonen!$B23</f>
        <v>2.8963623884694578</v>
      </c>
      <c r="AC22" s="21">
        <f>100*Monatswerte!AC22/Erwerbspersonen!$B23</f>
        <v>2.676733013040494</v>
      </c>
      <c r="AD22" s="21">
        <f>100*Monatswerte!AD22/Erwerbspersonen!$B23</f>
        <v>2.731640356897735</v>
      </c>
      <c r="AE22" s="21">
        <f>100*Monatswerte!AE22/Erwerbspersonen!$B23</f>
        <v>2.4708304735758406</v>
      </c>
      <c r="AF22" s="21">
        <f>100*Monatswerte!AF22/Erwerbspersonen!$B23</f>
        <v>2.3472889498970488</v>
      </c>
      <c r="AG22" s="21">
        <f>100*Monatswerte!AG22/Erwerbspersonen!$B23</f>
        <v>2.3061084420041182</v>
      </c>
      <c r="AH22" s="21">
        <f>100*Monatswerte!AH22/Erwerbspersonen!$B23</f>
        <v>2.1962937542896364</v>
      </c>
      <c r="AI22" s="21">
        <f>100*Monatswerte!AI22/Erwerbspersonen!$B23</f>
        <v>2.0864790665751545</v>
      </c>
      <c r="AJ22" s="21">
        <f>100*Monatswerte!AJ22/Erwerbspersonen!$B23</f>
        <v>2.1139327385037747</v>
      </c>
      <c r="AK22" s="21">
        <f>100*Monatswerte!AK22/Erwerbspersonen!$B23</f>
        <v>2.0590253946465338</v>
      </c>
      <c r="AL22" s="27">
        <f>100*Monatswerte!AL22/Erwerbspersonen!$B23</f>
        <v>2.1688400823610157</v>
      </c>
      <c r="AM22" s="21">
        <f>100*Monatswerte!AM22/Erwerbspersonen!$B23</f>
        <v>2.4159231297185997</v>
      </c>
      <c r="AN22" s="21">
        <f>100*Monatswerte!AN22/Erwerbspersonen!$B23</f>
        <v>2.3747426218256691</v>
      </c>
      <c r="AO22" s="21">
        <f>100*Monatswerte!AO22/Erwerbspersonen!$B23</f>
        <v>2.1688400823610157</v>
      </c>
      <c r="AP22" s="21">
        <f>100*Monatswerte!AP22/Erwerbspersonen!$B23</f>
        <v>2.1276595744680851</v>
      </c>
      <c r="AQ22" s="21">
        <f>100*Monatswerte!AQ22/Erwerbspersonen!$B23</f>
        <v>2.0864790665751545</v>
      </c>
      <c r="AR22" s="21">
        <f>100*Monatswerte!AR22/Erwerbspersonen!$B23</f>
        <v>2.1002059025394648</v>
      </c>
      <c r="AS22" s="21">
        <f>100*Monatswerte!AS22/Erwerbspersonen!$B23</f>
        <v>2.0864790665751545</v>
      </c>
      <c r="AT22" s="21">
        <f>100*Monatswerte!AT22/Erwerbspersonen!$B23</f>
        <v>1.9766643788606726</v>
      </c>
      <c r="AU22" s="21">
        <f>100*Monatswerte!AU22/Erwerbspersonen!$B23</f>
        <v>1.7295813315030886</v>
      </c>
      <c r="AV22" s="21">
        <f>100*Monatswerte!AV22/Erwerbspersonen!$B23</f>
        <v>1.5374056280027453</v>
      </c>
      <c r="AW22" s="21">
        <f>100*Monatswerte!AW22/Erwerbspersonen!$B23</f>
        <v>1.6609471516815375</v>
      </c>
      <c r="AX22" s="27">
        <f>100*Monatswerte!AX22/Erwerbspersonen!$B23</f>
        <v>1.7433081674673987</v>
      </c>
      <c r="AY22" s="21">
        <f>100*Monatswerte!AY22/Erwerbspersonen!$C23</f>
        <v>1.927019270192702</v>
      </c>
      <c r="AZ22" s="21">
        <f>100*Monatswerte!AZ22/Erwerbspersonen!$C23</f>
        <v>1.913352466858002</v>
      </c>
      <c r="BA22" s="21">
        <f>100*Monatswerte!BA22/Erwerbspersonen!$C23</f>
        <v>1.7766844335110017</v>
      </c>
      <c r="BB22" s="21">
        <f>100*Monatswerte!BB22/Erwerbspersonen!$C23</f>
        <v>2.0090200902009019</v>
      </c>
      <c r="BC22" s="21">
        <f>100*Monatswerte!BC22/Erwerbspersonen!$C23</f>
        <v>1.8450184501845019</v>
      </c>
      <c r="BD22" s="21">
        <f>100*Monatswerte!BD22/Erwerbspersonen!$C23</f>
        <v>1.6673500068334017</v>
      </c>
      <c r="BE22" s="21">
        <f>100*Monatswerte!BE22/Erwerbspersonen!$C23</f>
        <v>1.7630176301763019</v>
      </c>
      <c r="BF22" s="21">
        <f>100*Monatswerte!BF22/Erwerbspersonen!$C23</f>
        <v>1.7083504168375017</v>
      </c>
      <c r="BG22" s="21">
        <f>100*Monatswerte!BG22/Erwerbspersonen!$C23</f>
        <v>1.7493508268416018</v>
      </c>
      <c r="BH22" s="21">
        <f>100*Monatswerte!BH22/Erwerbspersonen!$C23</f>
        <v>1.7493508268416018</v>
      </c>
      <c r="BI22" s="21">
        <f>100*Monatswerte!BI22/Erwerbspersonen!$C23</f>
        <v>1.8450184501845019</v>
      </c>
      <c r="BJ22" s="27">
        <f>100*Monatswerte!BJ22/Erwerbspersonen!$C23</f>
        <v>2.2276889435561023</v>
      </c>
      <c r="BK22" s="21">
        <f>100*Monatswerte!BK22/Erwerbspersonen!$C23</f>
        <v>2.4053573869072022</v>
      </c>
      <c r="BL22" s="21">
        <f>100*Monatswerte!BL22/Erwerbspersonen!$C23</f>
        <v>2.8836955036217029</v>
      </c>
      <c r="BM22" s="21">
        <f>100*Monatswerte!BM22/Erwerbspersonen!$C23</f>
        <v>3.2526991936586032</v>
      </c>
      <c r="BN22" s="21">
        <f>100*Monatswerte!BN22/Erwerbspersonen!$C23</f>
        <v>3.3073664069974034</v>
      </c>
      <c r="BO22" s="21">
        <f>100*Monatswerte!BO22/Erwerbspersonen!$C23</f>
        <v>3.6080360803608036</v>
      </c>
      <c r="BP22" s="21">
        <f>100*Monatswerte!BP22/Erwerbspersonen!$C23</f>
        <v>3.8540385403854041</v>
      </c>
      <c r="BQ22" s="21">
        <f>100*Monatswerte!BQ22/Erwerbspersonen!$C23</f>
        <v>3.8677053437201039</v>
      </c>
      <c r="BR22" s="21">
        <f>100*Monatswerte!BR22/Erwerbspersonen!$C23</f>
        <v>3.8403717370507038</v>
      </c>
      <c r="BS22" s="21">
        <f>100*Monatswerte!BS22/Erwerbspersonen!$C23</f>
        <v>3.6763700970343036</v>
      </c>
      <c r="BT22" s="21">
        <f>100*Monatswerte!BT22/Erwerbspersonen!$C23</f>
        <v>3.7583709170425039</v>
      </c>
      <c r="BU22" s="21">
        <f>100*Monatswerte!BU22/Erwerbspersonen!$C23</f>
        <v>3.9360393603936039</v>
      </c>
      <c r="BV22" s="27">
        <f>100*Monatswerte!BV22/Erwerbspersonen!$C23</f>
        <v>4.2367090337570046</v>
      </c>
      <c r="BW22" s="21">
        <f>100*Monatswerte!BW22/Erwerbspersonen!$C23</f>
        <v>4.3050430504305046</v>
      </c>
      <c r="BX22" s="21">
        <f>100*Monatswerte!BX22/Erwerbspersonen!$C23</f>
        <v>4.4280442804428048</v>
      </c>
      <c r="BY22" s="21">
        <f>100*Monatswerte!BY22/Erwerbspersonen!$C23</f>
        <v>4.1957086237529042</v>
      </c>
      <c r="BZ22" s="21">
        <f>100*Monatswerte!BZ22/Erwerbspersonen!$C23</f>
        <v>3.7993713270466039</v>
      </c>
      <c r="CA22" s="21">
        <f>100*Monatswerte!CA22/Erwerbspersonen!$C23</f>
        <v>3.5670356703567037</v>
      </c>
      <c r="CB22" s="21">
        <f>100*Monatswerte!CB22/Erwerbspersonen!$C23</f>
        <v>3.4167008336750033</v>
      </c>
      <c r="CC22" s="21">
        <f>100*Monatswerte!CC22/Erwerbspersonen!$C23</f>
        <v>3.1843651769851031</v>
      </c>
      <c r="CD22" s="21">
        <f>100*Monatswerte!CD22/Erwerbspersonen!$C23</f>
        <v>3.0476971436381031</v>
      </c>
      <c r="CE22" s="21">
        <f>100*Monatswerte!CE22/Erwerbspersonen!$C23</f>
        <v>2.7060270602706029</v>
      </c>
      <c r="CF22" s="21">
        <f>100*Monatswerte!CF22/Erwerbspersonen!$C23</f>
        <v>2.7060270602706029</v>
      </c>
      <c r="CG22" s="21">
        <f>100*Monatswerte!CG22/Erwerbspersonen!$C23</f>
        <v>2.4600246002460024</v>
      </c>
      <c r="CH22" s="27">
        <f>100*Monatswerte!CH22/Erwerbspersonen!$C23</f>
        <v>2.6103594369277028</v>
      </c>
      <c r="CI22" s="21">
        <f>100*Monatswerte!CI22/Erwerbspersonen!$C23</f>
        <v>2.6240262402624026</v>
      </c>
      <c r="CJ22" s="21">
        <f>100*Monatswerte!CJ22/Erwerbspersonen!$C23</f>
        <v>2.4190241902419025</v>
      </c>
      <c r="CK22" s="21">
        <f>100*Monatswerte!CK22/Erwerbspersonen!$C23</f>
        <v>2.3916905835725024</v>
      </c>
      <c r="CL22" s="21">
        <f>100*Monatswerte!CL22/Erwerbspersonen!$C23</f>
        <v>2.1320213202132021</v>
      </c>
      <c r="CM22" s="21">
        <f>100*Monatswerte!CM22/Erwerbspersonen!$C23</f>
        <v>1.7220172201722017</v>
      </c>
      <c r="CN22" s="21">
        <f>100*Monatswerte!CN22/Erwerbspersonen!$C23</f>
        <v>1.7083504168375017</v>
      </c>
      <c r="CO22" s="21">
        <f>100*Monatswerte!CO22/Erwerbspersonen!$C23</f>
        <v>1.7083504168375017</v>
      </c>
      <c r="CP22" s="21">
        <f>100*Monatswerte!CP22/Erwerbspersonen!$C23</f>
        <v>1.7493508268416018</v>
      </c>
      <c r="CQ22" s="21">
        <f>100*Monatswerte!CQ22/Erwerbspersonen!$C23</f>
        <v>1.6810168101681018</v>
      </c>
      <c r="CR22" s="21">
        <f>100*Monatswerte!CR22/Erwerbspersonen!$C23</f>
        <v>1.7630176301763019</v>
      </c>
      <c r="CS22" s="21">
        <f>100*Monatswerte!CS22/Erwerbspersonen!$C23</f>
        <v>2.0226868935356022</v>
      </c>
      <c r="CT22" s="27">
        <f>100*Monatswerte!CT22/Erwerbspersonen!$C23</f>
        <v>2.3370233702337022</v>
      </c>
      <c r="CU22" s="21">
        <f>100*Monatswerte!CU22/Erwerbspersonen!$C23</f>
        <v>2.5010250102501024</v>
      </c>
      <c r="CV22" s="21">
        <f>100*Monatswerte!CV22/Erwerbspersonen!$C23</f>
        <v>2.4326909935766023</v>
      </c>
      <c r="CW22" s="21">
        <f>100*Monatswerte!CW22/Erwerbspersonen!$C23</f>
        <v>2.3780237802378026</v>
      </c>
      <c r="CX22" s="21">
        <f>100*Monatswerte!CX22/Erwerbspersonen!$C23</f>
        <v>2.0090200902009019</v>
      </c>
      <c r="CY22" s="21">
        <f>100*Monatswerte!CY22/Erwerbspersonen!$C23</f>
        <v>2.1593549268826022</v>
      </c>
      <c r="CZ22" s="21">
        <f>100*Monatswerte!CZ22/Erwerbspersonen!$C23</f>
        <v>1.9953532868662021</v>
      </c>
      <c r="DA22" s="21">
        <f>100*Monatswerte!DA22/Erwerbspersonen!$C23</f>
        <v>2.0226868935356022</v>
      </c>
      <c r="DB22" s="21">
        <f>100*Monatswerte!DB22/Erwerbspersonen!$C23</f>
        <v>2.1183545168785023</v>
      </c>
      <c r="DC22" s="21">
        <f>100*Monatswerte!DC22/Erwerbspersonen!$C23</f>
        <v>2.1183545168785023</v>
      </c>
      <c r="DD22" s="21">
        <f>100*Monatswerte!DD22/Erwerbspersonen!$C23</f>
        <v>2.2550225502255024</v>
      </c>
      <c r="DE22" s="21">
        <f>100*Monatswerte!DE22/Erwerbspersonen!$C23</f>
        <v>2.3780237802378026</v>
      </c>
      <c r="DF22" s="27">
        <f>100*Monatswerte!DF22/Erwerbspersonen!$C23</f>
        <v>2.6376930435971024</v>
      </c>
      <c r="DG22" s="21">
        <f>100*Monatswerte!DG22/Erwerbspersonen!$C23</f>
        <v>2.8700287002870031</v>
      </c>
      <c r="DH22" s="21">
        <f>100*Monatswerte!DH22/Erwerbspersonen!$C23</f>
        <v>2.7743610769441029</v>
      </c>
      <c r="DI22" s="21">
        <f>100*Monatswerte!DI22/Erwerbspersonen!$C23</f>
        <v>2.5693590269236024</v>
      </c>
      <c r="DJ22" s="21">
        <f>100*Monatswerte!DJ22/Erwerbspersonen!$C23</f>
        <v>2.5693590269236024</v>
      </c>
      <c r="DK22" s="21">
        <f>100*Monatswerte!DK22/Erwerbspersonen!$C23</f>
        <v>2.5146918135848026</v>
      </c>
      <c r="DL22" s="21">
        <f>100*Monatswerte!DL22/Erwerbspersonen!$C23</f>
        <v>2.5010250102501024</v>
      </c>
      <c r="DM22" s="21">
        <f>100*Monatswerte!DM22/Erwerbspersonen!$C23</f>
        <v>2.7470274702747028</v>
      </c>
      <c r="DN22" s="21">
        <f>100*Monatswerte!DN22/Erwerbspersonen!$C23</f>
        <v>2.6376930435971024</v>
      </c>
      <c r="DO22" s="21">
        <f>100*Monatswerte!DO22/Erwerbspersonen!$C23</f>
        <v>2.3780237802378026</v>
      </c>
      <c r="DP22" s="21">
        <f>100*Monatswerte!DP22/Erwerbspersonen!$C23</f>
        <v>2.4326909935766023</v>
      </c>
      <c r="DQ22" s="21">
        <f>100*Monatswerte!DQ22/Erwerbspersonen!$C23</f>
        <v>2.6103594369277028</v>
      </c>
      <c r="DR22" s="27">
        <f>100*Monatswerte!DR22/Erwerbspersonen!$C23</f>
        <v>2.7606942736094027</v>
      </c>
      <c r="DS22" s="21">
        <f>100*Monatswerte!DS22/Erwerbspersonen!$D23</f>
        <v>2.8375858096193833</v>
      </c>
      <c r="DT22" s="21">
        <f>100*Monatswerte!DT22/Erwerbspersonen!$D23</f>
        <v>2.6924070007551357</v>
      </c>
      <c r="DU22" s="21">
        <f>100*Monatswerte!DU22/Erwerbspersonen!$D23</f>
        <v>2.4812378242253215</v>
      </c>
      <c r="DV22" s="21">
        <f>100*Monatswerte!DV22/Erwerbspersonen!$D23</f>
        <v>2.2964647947617336</v>
      </c>
      <c r="DW22" s="21">
        <f>100*Monatswerte!DW22/Erwerbspersonen!$D23</f>
        <v>2.2700686476955068</v>
      </c>
      <c r="DX22" s="21">
        <f>100*Monatswerte!DX22/Erwerbspersonen!$D23</f>
        <v>2.2700686476955068</v>
      </c>
      <c r="DY22" s="21">
        <f>100*Monatswerte!DY22/Erwerbspersonen!$D23</f>
        <v>2.2700686476955068</v>
      </c>
      <c r="DZ22" s="21">
        <f>100*Monatswerte!DZ22/Erwerbspersonen!$D23</f>
        <v>2.309662868294847</v>
      </c>
      <c r="EA22" s="21">
        <f>100*Monatswerte!EA22/Erwerbspersonen!$D23</f>
        <v>2.2304744270961665</v>
      </c>
      <c r="EB22" s="21">
        <f>100*Monatswerte!EB22/Erwerbspersonen!$D23</f>
        <v>2.2040782800299397</v>
      </c>
      <c r="EC22" s="21">
        <f>100*Monatswerte!EC22/Erwerbspersonen!$D23</f>
        <v>2.4152474565597544</v>
      </c>
      <c r="ED22" s="21">
        <f>100*Monatswerte!ED22/Erwerbspersonen!$D23</f>
        <v>2.4152474565597544</v>
      </c>
      <c r="EE22" s="25">
        <f>100*Monatswerte!EE22/Erwerbspersonen!$D23</f>
        <v>2.3360590153610739</v>
      </c>
      <c r="EF22" s="21">
        <f>100*Monatswerte!EF22/Erwerbspersonen!$D23</f>
        <v>2.3228609418279604</v>
      </c>
      <c r="EG22" s="21">
        <f>100*Monatswerte!EG22/Erwerbspersonen!$D23</f>
        <v>2.468039750692208</v>
      </c>
      <c r="EH22" s="21">
        <f>100*Monatswerte!EH22/Erwerbspersonen!$D23</f>
        <v>2.4152474565597544</v>
      </c>
      <c r="EI22" s="21">
        <f>100*Monatswerte!EI22/Erwerbspersonen!$D23</f>
        <v>2.2304744270961665</v>
      </c>
      <c r="EJ22" s="21">
        <f>100*Monatswerte!EJ22/Erwerbspersonen!$D23</f>
        <v>2.3888513094935275</v>
      </c>
      <c r="EK22" s="21">
        <f>100*Monatswerte!EK22/Erwerbspersonen!$D23</f>
        <v>2.3888513094935275</v>
      </c>
      <c r="EL22" s="21">
        <f>100*Monatswerte!EL22/Erwerbspersonen!$D23</f>
        <v>2.4020493830266409</v>
      </c>
      <c r="EM22" s="21">
        <f>100*Monatswerte!EM22/Erwerbspersonen!$D23</f>
        <v>2.2964647947617336</v>
      </c>
      <c r="EN22" s="21">
        <f>100*Monatswerte!EN22/Erwerbspersonen!$D23</f>
        <v>2.5076339712915483</v>
      </c>
      <c r="EO22" s="21">
        <f>100*Monatswerte!EO22/Erwerbspersonen!$D23</f>
        <v>2.5736243389571154</v>
      </c>
      <c r="EP22" s="21">
        <f>100*Monatswerte!EP22/Erwerbspersonen!$D23</f>
        <v>3.048754986149198</v>
      </c>
      <c r="EQ22" s="25">
        <f>100*Monatswerte!EQ22/Erwerbspersonen!$D23</f>
        <v>3.1279434273478786</v>
      </c>
      <c r="ER22" s="21">
        <f>100*Monatswerte!ER22/Erwerbspersonen!$D23</f>
        <v>3.1015472802816517</v>
      </c>
      <c r="ES22" s="21">
        <f>100*Monatswerte!ES22/Erwerbspersonen!$D23</f>
        <v>2.9299723243511773</v>
      </c>
      <c r="ET22" s="21">
        <f>100*Monatswerte!ET22/Erwerbspersonen!$D23</f>
        <v>2.7583973684207028</v>
      </c>
      <c r="EU22" s="21">
        <f>100*Monatswerte!EU22/Erwerbspersonen!$D23</f>
        <v>2.732001221354476</v>
      </c>
      <c r="EV22" s="21">
        <f>100*Monatswerte!EV22/Erwerbspersonen!$D23</f>
        <v>2.468039750692208</v>
      </c>
      <c r="EW22" s="21">
        <f>100*Monatswerte!EW22/Erwerbspersonen!$D23</f>
        <v>2.560426265424002</v>
      </c>
      <c r="EX22" s="21">
        <f>100*Monatswerte!EX22/Erwerbspersonen!$D23</f>
        <v>2.8507838831524968</v>
      </c>
      <c r="EY22" s="21">
        <f>100*Monatswerte!EY22/Erwerbspersonen!$D23</f>
        <v>2.890378103751837</v>
      </c>
      <c r="EZ22" s="21">
        <f>100*Monatswerte!EZ22/Erwerbspersonen!$D23</f>
        <v>2.890378103751837</v>
      </c>
      <c r="FA22" s="21">
        <f>100*Monatswerte!FA22/Erwerbspersonen!$D23</f>
        <v>2.9827646184836309</v>
      </c>
      <c r="FB22" s="27">
        <f>100*Monatswerte!FB22/Erwerbspersonen!$D23</f>
        <v>2.9827646184836309</v>
      </c>
      <c r="FC22" s="21">
        <f>100*Monatswerte!FC22/Erwerbspersonen!$E23</f>
        <v>3.0379886790191186</v>
      </c>
      <c r="FD22" s="21">
        <f>100*Monatswerte!FD22/Erwerbspersonen!$E23</f>
        <v>3.0766071791761411</v>
      </c>
      <c r="FE22" s="21">
        <f>100*Monatswerte!FE22/Erwerbspersonen!$E23</f>
        <v>3.1795898462615351</v>
      </c>
      <c r="FF22" s="21">
        <f>100*Monatswerte!FF22/Erwerbspersonen!$E23</f>
        <v>2.8963875117767022</v>
      </c>
      <c r="FG22" s="21">
        <f>100*Monatswerte!FG22/Erwerbspersonen!$E23</f>
        <v>2.7805320113056338</v>
      </c>
      <c r="FH22" s="21">
        <f>100*Monatswerte!FH22/Erwerbspersonen!$E23</f>
        <v>2.6389308440632173</v>
      </c>
      <c r="FI22" s="21">
        <f>100*Monatswerte!FI22/Erwerbspersonen!$E23</f>
        <v>2.6518036774488918</v>
      </c>
      <c r="FJ22" s="21">
        <f>100*Monatswerte!FJ22/Erwerbspersonen!$E23</f>
        <v>2.5230753435921494</v>
      </c>
      <c r="FK22" s="21">
        <f>100*Monatswerte!FK22/Erwerbspersonen!$E23</f>
        <v>2.6260580106775433</v>
      </c>
      <c r="FL22" s="21">
        <f>100*Monatswerte!FL22/Erwerbspersonen!$E23</f>
        <v>2.5230753435921494</v>
      </c>
      <c r="FM22" s="21">
        <f>100*Monatswerte!FM22/Erwerbspersonen!$E23</f>
        <v>2.4200926765067554</v>
      </c>
      <c r="FN22" s="21">
        <f>100*Monatswerte!FN22/Erwerbspersonen!$E23</f>
        <v>2.6518036774488918</v>
      </c>
      <c r="FO22" s="25">
        <f>100*Monatswerte!FO22/Erwerbspersonen!$E23</f>
        <v>2.7032950109915888</v>
      </c>
      <c r="FP22" s="21">
        <f>100*Monatswerte!FP22/Erwerbspersonen!$E23</f>
        <v>2.5102025102064749</v>
      </c>
      <c r="FQ22" s="21">
        <f>100*Monatswerte!FQ22/Erwerbspersonen!$E23</f>
        <v>2.5230753435921494</v>
      </c>
      <c r="FR22" s="21">
        <f>100*Monatswerte!FR22/Erwerbspersonen!$E23</f>
        <v>2.111144675250574</v>
      </c>
      <c r="FS22" s="21">
        <f>100*Monatswerte!FS22/Erwerbspersonen!$E23</f>
        <v>1.8794336743084377</v>
      </c>
      <c r="FT22" s="21">
        <f>100*Monatswerte!FT22/Erwerbspersonen!$E23</f>
        <v>1.7893238406087182</v>
      </c>
      <c r="FU22" s="21">
        <f>100*Monatswerte!FU22/Erwerbspersonen!$E23</f>
        <v>1.7635781738373697</v>
      </c>
      <c r="FV22" s="21">
        <f>100*Monatswerte!FV22/Erwerbspersonen!$E23</f>
        <v>1.8536880075370894</v>
      </c>
      <c r="FW22" s="21">
        <f>100*Monatswerte!FW22/Erwerbspersonen!$E23</f>
        <v>1.7893238406087182</v>
      </c>
      <c r="FX22" s="21">
        <f>100*Monatswerte!FX22/Erwerbspersonen!$E23</f>
        <v>1.609104173209279</v>
      </c>
      <c r="FY22" s="21">
        <f>100*Monatswerte!FY22/Erwerbspersonen!$E23</f>
        <v>1.4803758393525366</v>
      </c>
      <c r="FZ22" s="21">
        <f>100*Monatswerte!FZ22/Erwerbspersonen!$E23</f>
        <v>1.6219770065949533</v>
      </c>
      <c r="GA22" s="25">
        <f>100*Monatswerte!GA22/Erwerbspersonen!$E23</f>
        <v>1.8923065076941119</v>
      </c>
      <c r="GB22" s="21">
        <f>100*Monatswerte!GB22/Erwerbspersonen!$E23</f>
        <v>1.8665608409227636</v>
      </c>
      <c r="GC22" s="21">
        <f>100*Monatswerte!GC22/Erwerbspersonen!$E23</f>
        <v>1.8794336743084377</v>
      </c>
      <c r="GD22" s="21">
        <f>100*Monatswerte!GD22/Erwerbspersonen!$E23</f>
        <v>1.6992140069089985</v>
      </c>
      <c r="GE22" s="21">
        <f>100*Monatswerte!GE22/Erwerbspersonen!$E23</f>
        <v>1.4031388390384911</v>
      </c>
      <c r="GF22" s="21">
        <f>100*Monatswerte!GF22/Erwerbspersonen!$E23</f>
        <v>1.3259018387244459</v>
      </c>
      <c r="GG22" s="21">
        <f>100*Monatswerte!GG22/Erwerbspersonen!$E23</f>
        <v>1.4675030059668623</v>
      </c>
      <c r="GH22" s="21">
        <f>100*Monatswerte!GH22/Erwerbspersonen!$E23</f>
        <v>1.5447400062809078</v>
      </c>
      <c r="GI22" s="21">
        <f>100*Monatswerte!GI22/Erwerbspersonen!$E23</f>
        <v>1.5833585064379305</v>
      </c>
      <c r="GJ22" s="21">
        <f>100*Monatswerte!GJ22/Erwerbspersonen!$E23</f>
        <v>1.609104173209279</v>
      </c>
      <c r="GK22" s="21">
        <f>100*Monatswerte!GK22/Erwerbspersonen!$E23</f>
        <v>1.5704856730522563</v>
      </c>
      <c r="GL22" s="21">
        <f>100*Monatswerte!GL22/Erwerbspersonen!$E23</f>
        <v>1.8150695073800667</v>
      </c>
      <c r="GM22" s="25">
        <f>100*Monatswerte!GM22/Erwerbspersonen!$F23</f>
        <v>1.885495795711293</v>
      </c>
      <c r="GN22" s="21">
        <f>100*Monatswerte!GN22/Erwerbspersonen!$F23</f>
        <v>1.885495795711293</v>
      </c>
      <c r="GO22" s="21">
        <f>100*Monatswerte!GO22/Erwerbspersonen!$F23</f>
        <v>2.0489054313396049</v>
      </c>
      <c r="GP22" s="21">
        <f>100*Monatswerte!GP22/Erwerbspersonen!$F23</f>
        <v>2.4260045904818637</v>
      </c>
      <c r="GQ22" s="21">
        <f>100*Monatswerte!GQ22/Erwerbspersonen!$F23</f>
        <v>2.3631547306248204</v>
      </c>
      <c r="GR22" s="21">
        <f>100*Monatswerte!GR22/Erwerbspersonen!$F23</f>
        <v>2.2751649268249601</v>
      </c>
      <c r="GS22" s="21">
        <f>100*Monatswerte!GS22/Erwerbspersonen!$F23</f>
        <v>2.513994394281724</v>
      </c>
      <c r="GT22" s="21">
        <f>100*Monatswerte!GT22/Erwerbspersonen!$F23</f>
        <v>2.777963805681305</v>
      </c>
      <c r="GU22" s="21">
        <f>100*Monatswerte!GU22/Erwerbspersonen!$F23</f>
        <v>2.8408136655383482</v>
      </c>
      <c r="GV22" s="21">
        <f>100*Monatswerte!GV22/Erwerbspersonen!$F23</f>
        <v>2.7402538897670792</v>
      </c>
      <c r="GW22" s="21">
        <f>100*Monatswerte!GW22/Erwerbspersonen!$F23</f>
        <v>2.6522640859672189</v>
      </c>
      <c r="GX22" s="27">
        <f>100*Monatswerte!GX22/Erwerbspersonen!$F23</f>
        <v>2.878523581452574</v>
      </c>
      <c r="GY22" s="21">
        <f>100*Monatswerte!GY22/Erwerbspersonen!$F23</f>
        <v>2.9413734413096169</v>
      </c>
      <c r="GZ22" s="21">
        <f>100*Monatswerte!GZ22/Erwerbspersonen!$F23</f>
        <v>3.0167932731380689</v>
      </c>
      <c r="HA22" s="21">
        <f>100*Monatswerte!HA22/Erwerbspersonen!$F23</f>
        <v>2.8031037496241225</v>
      </c>
      <c r="HB22" s="21">
        <f>100*Monatswerte!HB22/Erwerbspersonen!$F23</f>
        <v>2.7276839177956704</v>
      </c>
      <c r="HC22" s="21">
        <f>100*Monatswerte!HC22/Erwerbspersonen!$F23</f>
        <v>2.4511445344246807</v>
      </c>
      <c r="HD22" s="21">
        <f>100*Monatswerte!HD22/Erwerbspersonen!$F23</f>
        <v>2.4637145063960895</v>
      </c>
      <c r="HE22" s="21">
        <f>100*Monatswerte!HE22/Erwerbspersonen!$F23</f>
        <v>2.6145541700529931</v>
      </c>
      <c r="HF22" s="21">
        <f>100*Monatswerte!HF22/Erwerbspersonen!$F23</f>
        <v>2.5768442541387673</v>
      </c>
      <c r="HG22" s="21">
        <f>100*Monatswerte!HG22/Erwerbspersonen!$F23</f>
        <v>2.3380147866820034</v>
      </c>
      <c r="HH22" s="21">
        <f>100*Monatswerte!HH22/Erwerbspersonen!$F23</f>
        <v>2.3757247025962291</v>
      </c>
      <c r="HI22" s="21">
        <f>100*Monatswerte!HI22/Erwerbspersonen!$F23</f>
        <v>2.2625949548535518</v>
      </c>
      <c r="HJ22" s="21">
        <f>100*Monatswerte!HJ22/Erwerbspersonen!$F23</f>
        <v>2.4008646465390466</v>
      </c>
      <c r="HK22" s="60">
        <f>100*Monatswerte!HK22/Erwerbspersonen!$F23</f>
        <v>2.3128748427391859</v>
      </c>
      <c r="HL22" s="3">
        <f>100*Monatswerte!HL22/Erwerbspersonen!$F23</f>
        <v>2.3757247025962291</v>
      </c>
      <c r="HM22" s="3">
        <f>100*Monatswerte!HM22/Erwerbspersonen!$F23</f>
        <v>2.2374550109107343</v>
      </c>
      <c r="HN22" s="3">
        <f>100*Monatswerte!HN22/Erwerbspersonen!$F23</f>
        <v>2.1871751230250998</v>
      </c>
      <c r="HO22" s="3">
        <f>100*Monatswerte!HO22/Erwerbspersonen!$F23</f>
        <v>2.0614754033110136</v>
      </c>
      <c r="HP22" s="3">
        <f>100*Monatswerte!HP22/Erwerbspersonen!$F23</f>
        <v>2.0363354593681966</v>
      </c>
      <c r="HQ22" s="3">
        <f>100*Monatswerte!HQ22/Erwerbspersonen!$F23</f>
        <v>1.9357756835969275</v>
      </c>
      <c r="HR22" s="3">
        <f>100*Monatswerte!HR22/Erwerbspersonen!$F23</f>
        <v>1.9106357396541103</v>
      </c>
      <c r="HS22" s="3">
        <f>100*Monatswerte!HS22/Erwerbspersonen!$F23</f>
        <v>1.6089564123403033</v>
      </c>
      <c r="HT22" s="3">
        <f>100*Monatswerte!HT22/Erwerbspersonen!$F23</f>
        <v>1.5335365805118517</v>
      </c>
      <c r="HU22" s="3">
        <f>100*Monatswerte!HU22/Erwerbspersonen!$F23</f>
        <v>1.7597960759972069</v>
      </c>
      <c r="HV22" s="64">
        <f>100*Monatswerte!HV22/Erwerbspersonen!$F23</f>
        <v>1.9232057116255188</v>
      </c>
      <c r="HW22" s="3">
        <f>100*[5]Monatswerte!HW22/[5]Erwerbspersonen!$F23</f>
        <v>1.9106357396541103</v>
      </c>
      <c r="HX22" s="3">
        <f>100*[5]Monatswerte!HX22/[5]Erwerbspersonen!$F23</f>
        <v>1.7723660479686154</v>
      </c>
      <c r="HY22" s="3">
        <f>100*[5]Monatswerte!HY22/[5]Erwerbspersonen!$F23</f>
        <v>1.6592363002259378</v>
      </c>
      <c r="HZ22" s="3">
        <f>100*[5]Monatswerte!HZ22/[5]Erwerbspersonen!$F23</f>
        <v>1.621526384311712</v>
      </c>
      <c r="IA22" s="3">
        <f>100*[5]Monatswerte!IA22/[5]Erwerbspersonen!$F23</f>
        <v>1.6466663282545293</v>
      </c>
      <c r="IB22" s="3">
        <f>100*[5]Monatswerte!IB22/[5]Erwerbspersonen!$F23</f>
        <v>1.7220861600829809</v>
      </c>
      <c r="IC22" s="3">
        <f>100*[5]Monatswerte!IC22/[5]Erwerbspersonen!$F23</f>
        <v>1.6592363002259378</v>
      </c>
      <c r="ID22" s="3">
        <f>100*[5]Monatswerte!ID22/[5]Erwerbspersonen!$F23</f>
        <v>1.6718062721973463</v>
      </c>
      <c r="IE22" s="3">
        <f>100*[5]Monatswerte!IE22/[5]Erwerbspersonen!$F23</f>
        <v>1.7346561320543896</v>
      </c>
      <c r="IF22" s="3">
        <f>100*[5]Monatswerte!IF22/[5]Erwerbspersonen!$F23</f>
        <v>1.6969462161401636</v>
      </c>
      <c r="IG22" s="3">
        <f>100*[5]Monatswerte!IG22/[5]Erwerbspersonen!$F23</f>
        <v>1.8603558517684757</v>
      </c>
      <c r="IH22" s="3">
        <f>100*[5]Monatswerte!IH22/[5]Erwerbspersonen!$F23</f>
        <v>2.0363354593681966</v>
      </c>
      <c r="II22" s="60">
        <f>100*[6]Monatswerte!II22/[6]Erwerbspersonen!$G23</f>
        <v>2.2468835889626599</v>
      </c>
      <c r="IJ22" s="3">
        <f>100*[6]Monatswerte!IJ22/[6]Erwerbspersonen!$G23</f>
        <v>2.1958180528498725</v>
      </c>
      <c r="IK22" s="3">
        <f>100*[6]Monatswerte!IK22/[6]Erwerbspersonen!$G23</f>
        <v>2.0936869806242968</v>
      </c>
      <c r="IL22" s="3">
        <f>100*[6]Monatswerte!IL22/[6]Erwerbspersonen!$G23</f>
        <v>2.042621444511509</v>
      </c>
      <c r="IM22" s="3">
        <f>100*[6]Monatswerte!IM22/[6]Erwerbspersonen!$G23</f>
        <v>2.0553878285397063</v>
      </c>
      <c r="IN22" s="3">
        <f>100*[6]Monatswerte!IN22/[6]Erwerbspersonen!$G23</f>
        <v>2.2341172049344631</v>
      </c>
      <c r="IO22" s="3">
        <f>100*[6]Monatswerte!IO22/[6]Erwerbspersonen!$G23</f>
        <v>2.2468835889626599</v>
      </c>
      <c r="IP22" s="3">
        <f>100*[6]Monatswerte!IP22/[6]Erwerbspersonen!$G23</f>
        <v>2.1830516688216752</v>
      </c>
      <c r="IQ22" s="3">
        <f>100*[6]Monatswerte!IQ22/[6]Erwerbspersonen!$G23</f>
        <v>2.3745474292446294</v>
      </c>
      <c r="IR22" s="3">
        <f>100*[6]Monatswerte!IR22/[6]Erwerbspersonen!$G23</f>
        <v>2.3362482771600384</v>
      </c>
      <c r="IS22" s="3">
        <f>100*[6]Monatswerte!IS22/[6]Erwerbspersonen!$G23</f>
        <v>2.5915759577239772</v>
      </c>
      <c r="IT22" s="3">
        <f>100*[6]Monatswerte!IT22/[6]Erwerbspersonen!$G23</f>
        <v>2.8852027903725066</v>
      </c>
      <c r="IU22" s="60">
        <f>100*[7]Monatswerte!IU22/[7]Erwerbspersonen!$G23</f>
        <v>3.2426615431620207</v>
      </c>
      <c r="IV22" s="3">
        <f>100*[7]Monatswerte!IV22/[7]Erwerbspersonen!$G23</f>
        <v>3.0639321667672639</v>
      </c>
      <c r="IW22" s="3">
        <f>100*[7]Monatswerte!IW22/[7]Erwerbspersonen!$G23</f>
        <v>2.9618010945416882</v>
      </c>
      <c r="IX22" s="3">
        <f>100*[7]Monatswerte!IX22/[7]Erwerbspersonen!$G23</f>
        <v>2.846903638287916</v>
      </c>
      <c r="IY22" s="3">
        <f>100*[7]Monatswerte!IY22/[7]Erwerbspersonen!$G23</f>
        <v>2.9490347105134913</v>
      </c>
      <c r="IZ22" s="3">
        <f>100*[7]Monatswerte!IZ22/[7]Erwerbspersonen!$G23</f>
        <v>2.808604486203325</v>
      </c>
      <c r="JA22" s="3">
        <f>100*[7]Monatswerte!JA22/[7]Erwerbspersonen!$G23</f>
        <v>2.7320061820341435</v>
      </c>
      <c r="JB22" s="3">
        <f>100*[7]Monatswerte!JB22/[7]Erwerbspersonen!$G23</f>
        <v>2.6937070299495525</v>
      </c>
      <c r="JC22" s="3">
        <f>100*[7]Monatswerte!JC22/[7]Erwerbspersonen!$G23</f>
        <v>2.7447725660623403</v>
      </c>
      <c r="JD22" s="3">
        <f>100*[7]Monatswerte!JD22/[7]Erwerbspersonen!$G23</f>
        <v>2.8979691744007035</v>
      </c>
      <c r="JE22" s="3">
        <f>100*[7]Monatswerte!JE22/[7]Erwerbspersonen!$G23</f>
        <v>3.0001002466262792</v>
      </c>
      <c r="JF22" s="3">
        <f>100*[7]Monatswerte!JF22/[7]Erwerbspersonen!$G23</f>
        <v>3.0511657827390666</v>
      </c>
      <c r="JG22" s="60">
        <f>100*[7]Monatswerte!JG22/[7]Erwerbspersonen!$G23</f>
        <v>3.2554279271902176</v>
      </c>
      <c r="JH22" s="3">
        <f>100*[7]Monatswerte!JH22/[7]Erwerbspersonen!$G23</f>
        <v>3.3064934633030054</v>
      </c>
      <c r="JI22" s="3">
        <f>100*[7]Monatswerte!JI22/[7]Erwerbspersonen!$G23</f>
        <v>3.178829623021036</v>
      </c>
    </row>
    <row r="23" spans="1:269" s="1" customFormat="1" x14ac:dyDescent="0.2">
      <c r="A23" s="1" t="s">
        <v>34</v>
      </c>
      <c r="B23" s="1">
        <v>18</v>
      </c>
      <c r="C23" s="21">
        <f>100*Monatswerte!C23/Erwerbspersonen!$B24</f>
        <v>2.6523599975887637</v>
      </c>
      <c r="D23" s="21">
        <f>100*Monatswerte!D23/Erwerbspersonen!$B24</f>
        <v>2.7488094520465367</v>
      </c>
      <c r="E23" s="21">
        <f>100*Monatswerte!E23/Erwerbspersonen!$B24</f>
        <v>2.6282476339743202</v>
      </c>
      <c r="F23" s="21">
        <f>100*Monatswerte!F23/Erwerbspersonen!$B24</f>
        <v>2.598107179456266</v>
      </c>
      <c r="G23" s="21">
        <f>100*Monatswerte!G23/Erwerbspersonen!$B24</f>
        <v>2.5860509976490444</v>
      </c>
      <c r="H23" s="21">
        <f>100*Monatswerte!H23/Erwerbspersonen!$B24</f>
        <v>2.5197419977093256</v>
      </c>
      <c r="I23" s="21">
        <f>100*Monatswerte!I23/Erwerbspersonen!$B24</f>
        <v>2.5076858159021036</v>
      </c>
      <c r="J23" s="21">
        <f>100*Monatswerte!J23/Erwerbspersonen!$B24</f>
        <v>2.5438543613237687</v>
      </c>
      <c r="K23" s="21">
        <f>100*Monatswerte!K23/Erwerbspersonen!$B24</f>
        <v>2.4534329977696063</v>
      </c>
      <c r="L23" s="21">
        <f>100*Monatswerte!L23/Erwerbspersonen!$B24</f>
        <v>2.5257700886129362</v>
      </c>
      <c r="M23" s="21">
        <f>100*Monatswerte!M23/Erwerbspersonen!$B24</f>
        <v>2.5438543613237687</v>
      </c>
      <c r="N23" s="27">
        <f>100*Monatswerte!N23/Erwerbspersonen!$B24</f>
        <v>2.8030622701790344</v>
      </c>
      <c r="O23" s="21">
        <f>100*Monatswerte!O23/Erwerbspersonen!$B24</f>
        <v>2.7849779974682018</v>
      </c>
      <c r="P23" s="21">
        <f>100*Monatswerte!P23/Erwerbspersonen!$B24</f>
        <v>2.706612815721261</v>
      </c>
      <c r="Q23" s="21">
        <f>100*Monatswerte!Q23/Erwerbspersonen!$B24</f>
        <v>2.7186689975284826</v>
      </c>
      <c r="R23" s="21">
        <f>100*Monatswerte!R23/Erwerbspersonen!$B24</f>
        <v>2.5739948158418229</v>
      </c>
      <c r="S23" s="21">
        <f>100*Monatswerte!S23/Erwerbspersonen!$B24</f>
        <v>2.4413768159623848</v>
      </c>
      <c r="T23" s="21">
        <f>100*Monatswerte!T23/Erwerbspersonen!$B24</f>
        <v>2.4474049068659953</v>
      </c>
      <c r="U23" s="21">
        <f>100*Monatswerte!U23/Erwerbspersonen!$B24</f>
        <v>2.4654891795768279</v>
      </c>
      <c r="V23" s="21">
        <f>100*Monatswerte!V23/Erwerbspersonen!$B24</f>
        <v>2.6764723612032069</v>
      </c>
      <c r="W23" s="21">
        <f>100*Monatswerte!W23/Erwerbspersonen!$B24</f>
        <v>2.5137139068057146</v>
      </c>
      <c r="X23" s="21">
        <f>100*Monatswerte!X23/Erwerbspersonen!$B24</f>
        <v>2.4835734522876605</v>
      </c>
      <c r="Y23" s="21">
        <f>100*Monatswerte!Y23/Erwerbspersonen!$B24</f>
        <v>2.3569835433118334</v>
      </c>
      <c r="Z23" s="27">
        <f>100*Monatswerte!Z23/Erwerbspersonen!$B24</f>
        <v>2.604135270359877</v>
      </c>
      <c r="AA23" s="21">
        <f>100*Monatswerte!AA23/Erwerbspersonen!$B24</f>
        <v>2.7005847248176504</v>
      </c>
      <c r="AB23" s="21">
        <f>100*Monatswerte!AB23/Erwerbspersonen!$B24</f>
        <v>2.712640906624872</v>
      </c>
      <c r="AC23" s="21">
        <f>100*Monatswerte!AC23/Erwerbspersonen!$B24</f>
        <v>2.5920790885526555</v>
      </c>
      <c r="AD23" s="21">
        <f>100*Monatswerte!AD23/Erwerbspersonen!$B24</f>
        <v>2.3931520887334981</v>
      </c>
      <c r="AE23" s="21">
        <f>100*Monatswerte!AE23/Erwerbspersonen!$B24</f>
        <v>2.2725902706612815</v>
      </c>
      <c r="AF23" s="21">
        <f>100*Monatswerte!AF23/Erwerbspersonen!$B24</f>
        <v>2.2123093616251732</v>
      </c>
      <c r="AG23" s="21">
        <f>100*Monatswerte!AG23/Erwerbspersonen!$B24</f>
        <v>2.2303936343360058</v>
      </c>
      <c r="AH23" s="21">
        <f>100*Monatswerte!AH23/Erwerbspersonen!$B24</f>
        <v>2.049550907227681</v>
      </c>
      <c r="AI23" s="21">
        <f>100*Monatswerte!AI23/Erwerbspersonen!$B24</f>
        <v>1.9772138163843511</v>
      </c>
      <c r="AJ23" s="21">
        <f>100*Monatswerte!AJ23/Erwerbspersonen!$B24</f>
        <v>1.9289890891554644</v>
      </c>
      <c r="AK23" s="21">
        <f>100*Monatswerte!AK23/Erwerbspersonen!$B24</f>
        <v>1.8867924528301887</v>
      </c>
      <c r="AL23" s="27">
        <f>100*Monatswerte!AL23/Erwerbspersonen!$B24</f>
        <v>2.0013261799987943</v>
      </c>
      <c r="AM23" s="21">
        <f>100*Monatswerte!AM23/Erwerbspersonen!$B24</f>
        <v>2.0616070890349025</v>
      </c>
      <c r="AN23" s="21">
        <f>100*Monatswerte!AN23/Erwerbspersonen!$B24</f>
        <v>2.1218879980710108</v>
      </c>
      <c r="AO23" s="21">
        <f>100*Monatswerte!AO23/Erwerbspersonen!$B24</f>
        <v>2.04352281632407</v>
      </c>
      <c r="AP23" s="21">
        <f>100*Monatswerte!AP23/Erwerbspersonen!$B24</f>
        <v>1.947073361866297</v>
      </c>
      <c r="AQ23" s="21">
        <f>100*Monatswerte!AQ23/Erwerbspersonen!$B24</f>
        <v>1.9048767255410211</v>
      </c>
      <c r="AR23" s="21">
        <f>100*Monatswerte!AR23/Erwerbspersonen!$B24</f>
        <v>1.8204834528904696</v>
      </c>
      <c r="AS23" s="21">
        <f>100*Monatswerte!AS23/Erwerbspersonen!$B24</f>
        <v>1.838567725601302</v>
      </c>
      <c r="AT23" s="21">
        <f>100*Monatswerte!AT23/Erwerbspersonen!$B24</f>
        <v>1.8506239074085238</v>
      </c>
      <c r="AU23" s="21">
        <f>100*Monatswerte!AU23/Erwerbspersonen!$B24</f>
        <v>1.633612634878534</v>
      </c>
      <c r="AV23" s="21">
        <f>100*Monatswerte!AV23/Erwerbspersonen!$B24</f>
        <v>1.7541744529507506</v>
      </c>
      <c r="AW23" s="21">
        <f>100*Monatswerte!AW23/Erwerbspersonen!$B24</f>
        <v>1.8747362710229669</v>
      </c>
      <c r="AX23" s="27">
        <f>100*Monatswerte!AX23/Erwerbspersonen!$B24</f>
        <v>2.1218879980710108</v>
      </c>
      <c r="AY23" s="21">
        <f>100*Monatswerte!AY23/Erwerbspersonen!$C24</f>
        <v>1.7417918753478019</v>
      </c>
      <c r="AZ23" s="21">
        <f>100*Monatswerte!AZ23/Erwerbspersonen!$C24</f>
        <v>1.6471897607122983</v>
      </c>
      <c r="BA23" s="21">
        <f>100*Monatswerte!BA23/Erwerbspersonen!$C24</f>
        <v>1.5470228158041179</v>
      </c>
      <c r="BB23" s="21">
        <f>100*Monatswerte!BB23/Erwerbspersonen!$C24</f>
        <v>1.6026711185308848</v>
      </c>
      <c r="BC23" s="21">
        <f>100*Monatswerte!BC23/Erwerbspersonen!$C24</f>
        <v>1.474680022259321</v>
      </c>
      <c r="BD23" s="21">
        <f>100*Monatswerte!BD23/Erwerbspersonen!$C24</f>
        <v>1.4691151919866443</v>
      </c>
      <c r="BE23" s="21">
        <f>100*Monatswerte!BE23/Erwerbspersonen!$C24</f>
        <v>1.474680022259321</v>
      </c>
      <c r="BF23" s="21">
        <f>100*Monatswerte!BF23/Erwerbspersonen!$C24</f>
        <v>1.3912075681691709</v>
      </c>
      <c r="BG23" s="21">
        <f>100*Monatswerte!BG23/Erwerbspersonen!$C24</f>
        <v>1.5247634947134112</v>
      </c>
      <c r="BH23" s="21">
        <f>100*Monatswerte!BH23/Erwerbspersonen!$C24</f>
        <v>1.5414579855314412</v>
      </c>
      <c r="BI23" s="21">
        <f>100*Monatswerte!BI23/Erwerbspersonen!$C24</f>
        <v>1.5637173066221479</v>
      </c>
      <c r="BJ23" s="27">
        <f>100*Monatswerte!BJ23/Erwerbspersonen!$C24</f>
        <v>1.7250973845297719</v>
      </c>
      <c r="BK23" s="21">
        <f>100*Monatswerte!BK23/Erwerbspersonen!$C24</f>
        <v>1.8419588202559822</v>
      </c>
      <c r="BL23" s="21">
        <f>100*Monatswerte!BL23/Erwerbspersonen!$C24</f>
        <v>1.9643850862548693</v>
      </c>
      <c r="BM23" s="21">
        <f>100*Monatswerte!BM23/Erwerbspersonen!$C24</f>
        <v>2.0144685587089595</v>
      </c>
      <c r="BN23" s="21">
        <f>100*Monatswerte!BN23/Erwerbspersonen!$C24</f>
        <v>2.0311630495269895</v>
      </c>
      <c r="BO23" s="21">
        <f>100*Monatswerte!BO23/Erwerbspersonen!$C24</f>
        <v>2.1480244852531998</v>
      </c>
      <c r="BP23" s="21">
        <f>100*Monatswerte!BP23/Erwerbspersonen!$C24</f>
        <v>2.320534223706177</v>
      </c>
      <c r="BQ23" s="21">
        <f>100*Monatswerte!BQ23/Erwerbspersonen!$C24</f>
        <v>2.3427935447968835</v>
      </c>
      <c r="BR23" s="21">
        <f>100*Monatswerte!BR23/Erwerbspersonen!$C24</f>
        <v>2.3149693934335005</v>
      </c>
      <c r="BS23" s="21">
        <f>100*Monatswerte!BS23/Erwerbspersonen!$C24</f>
        <v>2.4874791318864773</v>
      </c>
      <c r="BT23" s="21">
        <f>100*Monatswerte!BT23/Erwerbspersonen!$C24</f>
        <v>2.4596549805230938</v>
      </c>
      <c r="BU23" s="21">
        <f>100*Monatswerte!BU23/Erwerbspersonen!$C24</f>
        <v>2.4373956594323873</v>
      </c>
      <c r="BV23" s="27">
        <f>100*Monatswerte!BV23/Erwerbspersonen!$C24</f>
        <v>2.4930439621591542</v>
      </c>
      <c r="BW23" s="21">
        <f>100*Monatswerte!BW23/Erwerbspersonen!$C24</f>
        <v>2.4151363383416804</v>
      </c>
      <c r="BX23" s="21">
        <f>100*Monatswerte!BX23/Erwerbspersonen!$C24</f>
        <v>2.4373956594323873</v>
      </c>
      <c r="BY23" s="21">
        <f>100*Monatswerte!BY23/Erwerbspersonen!$C24</f>
        <v>2.4095715080690039</v>
      </c>
      <c r="BZ23" s="21">
        <f>100*Monatswerte!BZ23/Erwerbspersonen!$C24</f>
        <v>2.4318308291597108</v>
      </c>
      <c r="CA23" s="21">
        <f>100*Monatswerte!CA23/Erwerbspersonen!$C24</f>
        <v>2.3650528658875904</v>
      </c>
      <c r="CB23" s="21">
        <f>100*Monatswerte!CB23/Erwerbspersonen!$C24</f>
        <v>2.2760155815247636</v>
      </c>
      <c r="CC23" s="21">
        <f>100*Monatswerte!CC23/Erwerbspersonen!$C24</f>
        <v>2.303839732888147</v>
      </c>
      <c r="CD23" s="21">
        <f>100*Monatswerte!CD23/Erwerbspersonen!$C24</f>
        <v>2.3316638842515305</v>
      </c>
      <c r="CE23" s="21">
        <f>100*Monatswerte!CE23/Erwerbspersonen!$C24</f>
        <v>2.4095715080690039</v>
      </c>
      <c r="CF23" s="21">
        <f>100*Monatswerte!CF23/Erwerbspersonen!$C24</f>
        <v>2.4095715080690039</v>
      </c>
      <c r="CG23" s="21">
        <f>100*Monatswerte!CG23/Erwerbspersonen!$C24</f>
        <v>2.4763494713411243</v>
      </c>
      <c r="CH23" s="27">
        <f>100*Monatswerte!CH23/Erwerbspersonen!$C24</f>
        <v>2.5765164162493046</v>
      </c>
      <c r="CI23" s="21">
        <f>100*Monatswerte!CI23/Erwerbspersonen!$C24</f>
        <v>2.5598219254312742</v>
      </c>
      <c r="CJ23" s="21">
        <f>100*Monatswerte!CJ23/Erwerbspersonen!$C24</f>
        <v>2.4652198107957708</v>
      </c>
      <c r="CK23" s="21">
        <f>100*Monatswerte!CK23/Erwerbspersonen!$C24</f>
        <v>2.3761825264329439</v>
      </c>
      <c r="CL23" s="21">
        <f>100*Monatswerte!CL23/Erwerbspersonen!$C24</f>
        <v>2.1869782971619367</v>
      </c>
      <c r="CM23" s="21">
        <f>100*Monatswerte!CM23/Erwerbspersonen!$C24</f>
        <v>2.0534223706176959</v>
      </c>
      <c r="CN23" s="21">
        <f>100*Monatswerte!CN23/Erwerbspersonen!$C24</f>
        <v>2.003338898163606</v>
      </c>
      <c r="CO23" s="21">
        <f>100*Monatswerte!CO23/Erwerbspersonen!$C24</f>
        <v>2.0089037284362825</v>
      </c>
      <c r="CP23" s="21">
        <f>100*Monatswerte!CP23/Erwerbspersonen!$C24</f>
        <v>1.8586533110740122</v>
      </c>
      <c r="CQ23" s="21">
        <f>100*Monatswerte!CQ23/Erwerbspersonen!$C24</f>
        <v>1.8809126321647189</v>
      </c>
      <c r="CR23" s="21">
        <f>100*Monatswerte!CR23/Erwerbspersonen!$C24</f>
        <v>1.9254312743461324</v>
      </c>
      <c r="CS23" s="21">
        <f>100*Monatswerte!CS23/Erwerbspersonen!$C24</f>
        <v>1.986644407345576</v>
      </c>
      <c r="CT23" s="27">
        <f>100*Monatswerte!CT23/Erwerbspersonen!$C24</f>
        <v>2.1535893155258763</v>
      </c>
      <c r="CU23" s="21">
        <f>100*Monatswerte!CU23/Erwerbspersonen!$C24</f>
        <v>2.2426265998887036</v>
      </c>
      <c r="CV23" s="21">
        <f>100*Monatswerte!CV23/Erwerbspersonen!$C24</f>
        <v>2.2203672787979967</v>
      </c>
      <c r="CW23" s="21">
        <f>100*Monatswerte!CW23/Erwerbspersonen!$C24</f>
        <v>2.1702838063439067</v>
      </c>
      <c r="CX23" s="21">
        <f>100*Monatswerte!CX23/Erwerbspersonen!$C24</f>
        <v>2.1814134668892597</v>
      </c>
      <c r="CY23" s="21">
        <f>100*Monatswerte!CY23/Erwerbspersonen!$C24</f>
        <v>2.0868113522537564</v>
      </c>
      <c r="CZ23" s="21">
        <f>100*Monatswerte!CZ23/Erwerbspersonen!$C24</f>
        <v>2.020033388981636</v>
      </c>
      <c r="DA23" s="21">
        <f>100*Monatswerte!DA23/Erwerbspersonen!$C24</f>
        <v>2.0311630495269895</v>
      </c>
      <c r="DB23" s="21">
        <f>100*Monatswerte!DB23/Erwerbspersonen!$C24</f>
        <v>2.0923761825264329</v>
      </c>
      <c r="DC23" s="21">
        <f>100*Monatswerte!DC23/Erwerbspersonen!$C24</f>
        <v>2.0868113522537564</v>
      </c>
      <c r="DD23" s="21">
        <f>100*Monatswerte!DD23/Erwerbspersonen!$C24</f>
        <v>2.1535893155258763</v>
      </c>
      <c r="DE23" s="21">
        <f>100*Monatswerte!DE23/Erwerbspersonen!$C24</f>
        <v>2.3316638842515305</v>
      </c>
      <c r="DF23" s="27">
        <f>100*Monatswerte!DF23/Erwerbspersonen!$C24</f>
        <v>2.4819143016138008</v>
      </c>
      <c r="DG23" s="21">
        <f>100*Monatswerte!DG23/Erwerbspersonen!$C24</f>
        <v>2.6265998887033946</v>
      </c>
      <c r="DH23" s="21">
        <f>100*Monatswerte!DH23/Erwerbspersonen!$C24</f>
        <v>2.5375626043405677</v>
      </c>
      <c r="DI23" s="21">
        <f>100*Monatswerte!DI23/Erwerbspersonen!$C24</f>
        <v>2.3928770172509739</v>
      </c>
      <c r="DJ23" s="21">
        <f>100*Monatswerte!DJ23/Erwerbspersonen!$C24</f>
        <v>2.2648859209794101</v>
      </c>
      <c r="DK23" s="21">
        <f>100*Monatswerte!DK23/Erwerbspersonen!$C24</f>
        <v>2.0923761825264329</v>
      </c>
      <c r="DL23" s="21">
        <f>100*Monatswerte!DL23/Erwerbspersonen!$C24</f>
        <v>1.9643850862548693</v>
      </c>
      <c r="DM23" s="21">
        <f>100*Monatswerte!DM23/Erwerbspersonen!$C24</f>
        <v>2.036727879799666</v>
      </c>
      <c r="DN23" s="21">
        <f>100*Monatswerte!DN23/Erwerbspersonen!$C24</f>
        <v>1.9309961046188091</v>
      </c>
      <c r="DO23" s="21">
        <f>100*Monatswerte!DO23/Erwerbspersonen!$C24</f>
        <v>1.8196994991652755</v>
      </c>
      <c r="DP23" s="21">
        <f>100*Monatswerte!DP23/Erwerbspersonen!$C24</f>
        <v>1.8864774624373957</v>
      </c>
      <c r="DQ23" s="21">
        <f>100*Monatswerte!DQ23/Erwerbspersonen!$C24</f>
        <v>1.8864774624373957</v>
      </c>
      <c r="DR23" s="27">
        <f>100*Monatswerte!DR23/Erwerbspersonen!$C24</f>
        <v>1.9588202559821926</v>
      </c>
      <c r="DS23" s="21">
        <f>100*Monatswerte!DS23/Erwerbspersonen!$D24</f>
        <v>2.0388528696079375</v>
      </c>
      <c r="DT23" s="21">
        <f>100*Monatswerte!DT23/Erwerbspersonen!$D24</f>
        <v>2.0610143138428061</v>
      </c>
      <c r="DU23" s="21">
        <f>100*Monatswerte!DU23/Erwerbspersonen!$D24</f>
        <v>2.2106040624281711</v>
      </c>
      <c r="DV23" s="21">
        <f>100*Monatswerte!DV23/Erwerbspersonen!$D24</f>
        <v>2.1330390076061301</v>
      </c>
      <c r="DW23" s="21">
        <f>100*Monatswerte!DW23/Erwerbspersonen!$D24</f>
        <v>2.0277721474905031</v>
      </c>
      <c r="DX23" s="21">
        <f>100*Monatswerte!DX23/Erwerbspersonen!$D24</f>
        <v>2.0388528696079375</v>
      </c>
      <c r="DY23" s="21">
        <f>100*Monatswerte!DY23/Erwerbspersonen!$D24</f>
        <v>2.0554739527840891</v>
      </c>
      <c r="DZ23" s="21">
        <f>100*Monatswerte!DZ23/Erwerbspersonen!$D24</f>
        <v>2.0333125085492201</v>
      </c>
      <c r="EA23" s="21">
        <f>100*Monatswerte!EA23/Erwerbspersonen!$D24</f>
        <v>2.0720950359602406</v>
      </c>
      <c r="EB23" s="21">
        <f>100*Monatswerte!EB23/Erwerbspersonen!$D24</f>
        <v>2.0222317864317856</v>
      </c>
      <c r="EC23" s="21">
        <f>100*Monatswerte!EC23/Erwerbspersonen!$D24</f>
        <v>2.0166914253730686</v>
      </c>
      <c r="ED23" s="21">
        <f>100*Monatswerte!ED23/Erwerbspersonen!$D24</f>
        <v>2.1552004518409991</v>
      </c>
      <c r="EE23" s="25">
        <f>100*Monatswerte!EE23/Erwerbspersonen!$D24</f>
        <v>2.1773618960758681</v>
      </c>
      <c r="EF23" s="21">
        <f>100*Monatswerte!EF23/Erwerbspersonen!$D24</f>
        <v>2.2549269508979091</v>
      </c>
      <c r="EG23" s="21">
        <f>100*Monatswerte!EG23/Erwerbspersonen!$D24</f>
        <v>2.2272251456043231</v>
      </c>
      <c r="EH23" s="21">
        <f>100*Monatswerte!EH23/Erwerbspersonen!$D24</f>
        <v>2.0831757580776751</v>
      </c>
      <c r="EI23" s="21">
        <f>100*Monatswerte!EI23/Erwerbspersonen!$D24</f>
        <v>1.9889896200794823</v>
      </c>
      <c r="EJ23" s="21">
        <f>100*Monatswerte!EJ23/Erwerbspersonen!$D24</f>
        <v>1.9225052873748756</v>
      </c>
      <c r="EK23" s="21">
        <f>100*Monatswerte!EK23/Erwerbspersonen!$D24</f>
        <v>2.0443932306666546</v>
      </c>
      <c r="EL23" s="21">
        <f>100*Monatswerte!EL23/Erwerbspersonen!$D24</f>
        <v>2.2992498393676466</v>
      </c>
      <c r="EM23" s="21">
        <f>100*Monatswerte!EM23/Erwerbspersonen!$D24</f>
        <v>2.2272251456043231</v>
      </c>
      <c r="EN23" s="21">
        <f>100*Monatswerte!EN23/Erwerbspersonen!$D24</f>
        <v>2.2826287561914951</v>
      </c>
      <c r="EO23" s="21">
        <f>100*Monatswerte!EO23/Erwerbspersonen!$D24</f>
        <v>2.5042431985401841</v>
      </c>
      <c r="EP23" s="21">
        <f>100*Monatswerte!EP23/Erwerbspersonen!$D24</f>
        <v>2.7258576408888726</v>
      </c>
      <c r="EQ23" s="25">
        <f>100*Monatswerte!EQ23/Erwerbspersonen!$D24</f>
        <v>2.8754473894742376</v>
      </c>
      <c r="ER23" s="21">
        <f>100*Monatswerte!ER23/Erwerbspersonen!$D24</f>
        <v>2.9031491947678236</v>
      </c>
      <c r="ES23" s="21">
        <f>100*Monatswerte!ES23/Erwerbspersonen!$D24</f>
        <v>2.8200437788870656</v>
      </c>
      <c r="ET23" s="21">
        <f>100*Monatswerte!ET23/Erwerbspersonen!$D24</f>
        <v>2.6926154745365696</v>
      </c>
      <c r="EU23" s="21">
        <f>100*Monatswerte!EU23/Erwerbspersonen!$D24</f>
        <v>2.6926154745365696</v>
      </c>
      <c r="EV23" s="21">
        <f>100*Monatswerte!EV23/Erwerbspersonen!$D24</f>
        <v>2.5430257259512046</v>
      </c>
      <c r="EW23" s="21">
        <f>100*Monatswerte!EW23/Erwerbspersonen!$D24</f>
        <v>2.5430257259512046</v>
      </c>
      <c r="EX23" s="21">
        <f>100*Monatswerte!EX23/Erwerbspersonen!$D24</f>
        <v>2.5430257259512046</v>
      </c>
      <c r="EY23" s="21">
        <f>100*Monatswerte!EY23/Erwerbspersonen!$D24</f>
        <v>2.4654606711291636</v>
      </c>
      <c r="EZ23" s="21">
        <f>100*Monatswerte!EZ23/Erwerbspersonen!$D24</f>
        <v>2.4931624764227496</v>
      </c>
      <c r="FA23" s="21">
        <f>100*Monatswerte!FA23/Erwerbspersonen!$D24</f>
        <v>2.5485660870099216</v>
      </c>
      <c r="FB23" s="27">
        <f>100*Monatswerte!FB23/Erwerbspersonen!$D24</f>
        <v>2.6427522250081146</v>
      </c>
      <c r="FC23" s="21">
        <f>100*Monatswerte!FC23/Erwerbspersonen!$E24</f>
        <v>2.5035775392613471</v>
      </c>
      <c r="FD23" s="21">
        <f>100*Monatswerte!FD23/Erwerbspersonen!$E24</f>
        <v>2.4627860518599403</v>
      </c>
      <c r="FE23" s="21">
        <f>100*Monatswerte!FE23/Erwerbspersonen!$E24</f>
        <v>2.3302137178053677</v>
      </c>
      <c r="FF23" s="21">
        <f>100*Monatswerte!FF23/Erwerbspersonen!$E24</f>
        <v>2.3914009489074783</v>
      </c>
      <c r="FG23" s="21">
        <f>100*Monatswerte!FG23/Erwerbspersonen!$E24</f>
        <v>2.3251147818801918</v>
      </c>
      <c r="FH23" s="21">
        <f>100*Monatswerte!FH23/Erwerbspersonen!$E24</f>
        <v>2.1874435119004438</v>
      </c>
      <c r="FI23" s="21">
        <f>100*Monatswerte!FI23/Erwerbspersonen!$E24</f>
        <v>2.1721467041249163</v>
      </c>
      <c r="FJ23" s="21">
        <f>100*Monatswerte!FJ23/Erwerbspersonen!$E24</f>
        <v>2.1007616011724544</v>
      </c>
      <c r="FK23" s="21">
        <f>100*Monatswerte!FK23/Erwerbspersonen!$E24</f>
        <v>2.0854647933969264</v>
      </c>
      <c r="FL23" s="21">
        <f>100*Monatswerte!FL23/Erwerbspersonen!$E24</f>
        <v>2.0395743700703437</v>
      </c>
      <c r="FM23" s="21">
        <f>100*Monatswerte!FM23/Erwerbspersonen!$E24</f>
        <v>2.0854647933969264</v>
      </c>
      <c r="FN23" s="21">
        <f>100*Monatswerte!FN23/Erwerbspersonen!$E24</f>
        <v>2.182344575975268</v>
      </c>
      <c r="FO23" s="25">
        <f>100*Monatswerte!FO23/Erwerbspersonen!$E24</f>
        <v>2.3608073333564228</v>
      </c>
      <c r="FP23" s="21">
        <f>100*Monatswerte!FP23/Erwerbspersonen!$E24</f>
        <v>2.3404115896557194</v>
      </c>
      <c r="FQ23" s="21">
        <f>100*Monatswerte!FQ23/Erwerbspersonen!$E24</f>
        <v>2.1415530885738612</v>
      </c>
      <c r="FR23" s="21">
        <f>100*Monatswerte!FR23/Erwerbspersonen!$E24</f>
        <v>2.0140796904444644</v>
      </c>
      <c r="FS23" s="21">
        <f>100*Monatswerte!FS23/Erwerbspersonen!$E24</f>
        <v>1.8305179971381336</v>
      </c>
      <c r="FT23" s="21">
        <f>100*Monatswerte!FT23/Erwerbspersonen!$E24</f>
        <v>1.9375956515668267</v>
      </c>
      <c r="FU23" s="21">
        <f>100*Monatswerte!FU23/Erwerbspersonen!$E24</f>
        <v>1.7999243815870785</v>
      </c>
      <c r="FV23" s="21">
        <f>100*Monatswerte!FV23/Erwerbspersonen!$E24</f>
        <v>1.7795286378863751</v>
      </c>
      <c r="FW23" s="21">
        <f>100*Monatswerte!FW23/Erwerbspersonen!$E24</f>
        <v>1.738737150484968</v>
      </c>
      <c r="FX23" s="21">
        <f>100*Monatswerte!FX23/Erwerbspersonen!$E24</f>
        <v>1.7030445990087371</v>
      </c>
      <c r="FY23" s="21">
        <f>100*Monatswerte!FY23/Erwerbspersonen!$E24</f>
        <v>1.6061648164303959</v>
      </c>
      <c r="FZ23" s="21">
        <f>100*Monatswerte!FZ23/Erwerbspersonen!$E24</f>
        <v>1.7183414067842646</v>
      </c>
      <c r="GA23" s="25">
        <f>100*Monatswerte!GA23/Erwerbspersonen!$E24</f>
        <v>1.7591328941856716</v>
      </c>
      <c r="GB23" s="21">
        <f>100*Monatswerte!GB23/Erwerbspersonen!$E24</f>
        <v>1.7846275738115509</v>
      </c>
      <c r="GC23" s="21">
        <f>100*Monatswerte!GC23/Erwerbspersonen!$E24</f>
        <v>1.6316594960562751</v>
      </c>
      <c r="GD23" s="21">
        <f>100*Monatswerte!GD23/Erwerbspersonen!$E24</f>
        <v>1.5194829057024062</v>
      </c>
      <c r="GE23" s="21">
        <f>100*Monatswerte!GE23/Erwerbspersonen!$E24</f>
        <v>1.4175041871988889</v>
      </c>
      <c r="GF23" s="21">
        <f>100*Monatswerte!GF23/Erwerbspersonen!$E24</f>
        <v>1.5041860979268786</v>
      </c>
      <c r="GG23" s="21">
        <f>100*Monatswerte!GG23/Erwerbspersonen!$E24</f>
        <v>1.3614158920219546</v>
      </c>
      <c r="GH23" s="21">
        <f>100*Monatswerte!GH23/Erwerbspersonen!$E24</f>
        <v>1.346119084246427</v>
      </c>
      <c r="GI23" s="21">
        <f>100*Monatswerte!GI23/Erwerbspersonen!$E24</f>
        <v>1.3716137638723063</v>
      </c>
      <c r="GJ23" s="21">
        <f>100*Monatswerte!GJ23/Erwerbspersonen!$E24</f>
        <v>1.3257233405457236</v>
      </c>
      <c r="GK23" s="21">
        <f>100*Monatswerte!GK23/Erwerbspersonen!$E24</f>
        <v>1.3920095075730097</v>
      </c>
      <c r="GL23" s="21">
        <f>100*Monatswerte!GL23/Erwerbspersonen!$E24</f>
        <v>1.7183414067842646</v>
      </c>
      <c r="GM23" s="25">
        <f>100*Monatswerte!GM23/Erwerbspersonen!$F24</f>
        <v>1.9728325333106551</v>
      </c>
      <c r="GN23" s="21">
        <f>100*Monatswerte!GN23/Erwerbspersonen!$F24</f>
        <v>1.8672443132179724</v>
      </c>
      <c r="GO23" s="21">
        <f>100*Monatswerte!GO23/Erwerbspersonen!$F24</f>
        <v>2.0117334565026961</v>
      </c>
      <c r="GP23" s="21">
        <f>100*Monatswerte!GP23/Erwerbspersonen!$F24</f>
        <v>2.4174145126482678</v>
      </c>
      <c r="GQ23" s="21">
        <f>100*Monatswerte!GQ23/Erwerbspersonen!$F24</f>
        <v>2.7397364476680366</v>
      </c>
      <c r="GR23" s="21">
        <f>100*Monatswerte!GR23/Erwerbspersonen!$F24</f>
        <v>2.6230336780919132</v>
      </c>
      <c r="GS23" s="21">
        <f>100*Monatswerte!GS23/Erwerbspersonen!$F24</f>
        <v>2.4952163590323497</v>
      </c>
      <c r="GT23" s="21">
        <f>100*Monatswerte!GT23/Erwerbspersonen!$F24</f>
        <v>2.606361853866753</v>
      </c>
      <c r="GU23" s="21">
        <f>100*Monatswerte!GU23/Erwerbspersonen!$F24</f>
        <v>2.4952163590323497</v>
      </c>
      <c r="GV23" s="21">
        <f>100*Monatswerte!GV23/Erwerbspersonen!$F24</f>
        <v>2.4896590842906297</v>
      </c>
      <c r="GW23" s="21">
        <f>100*Monatswerte!GW23/Erwerbspersonen!$F24</f>
        <v>2.4674299853237489</v>
      </c>
      <c r="GX23" s="27">
        <f>100*Monatswerte!GX23/Erwerbspersonen!$F24</f>
        <v>2.5396745569661112</v>
      </c>
      <c r="GY23" s="21">
        <f>100*Monatswerte!GY23/Erwerbspersonen!$F24</f>
        <v>2.7063927992177157</v>
      </c>
      <c r="GZ23" s="21">
        <f>100*Monatswerte!GZ23/Erwerbspersonen!$F24</f>
        <v>2.6841637002508349</v>
      </c>
      <c r="HA23" s="21">
        <f>100*Monatswerte!HA23/Erwerbspersonen!$F24</f>
        <v>2.5896900296415923</v>
      </c>
      <c r="HB23" s="21">
        <f>100*Monatswerte!HB23/Erwerbspersonen!$F24</f>
        <v>2.4952163590323497</v>
      </c>
      <c r="HC23" s="21">
        <f>100*Monatswerte!HC23/Erwerbspersonen!$F24</f>
        <v>2.3840708641979469</v>
      </c>
      <c r="HD23" s="21">
        <f>100*Monatswerte!HD23/Erwerbspersonen!$F24</f>
        <v>2.3062690178138645</v>
      </c>
      <c r="HE23" s="21">
        <f>100*Monatswerte!HE23/Erwerbspersonen!$F24</f>
        <v>2.2451389956549428</v>
      </c>
      <c r="HF23" s="21">
        <f>100*Monatswerte!HF23/Erwerbspersonen!$F24</f>
        <v>2.1506653250457002</v>
      </c>
      <c r="HG23" s="21">
        <f>100*Monatswerte!HG23/Erwerbspersonen!$F24</f>
        <v>2.0450771049530174</v>
      </c>
      <c r="HH23" s="21">
        <f>100*Monatswerte!HH23/Erwerbspersonen!$F24</f>
        <v>1.8450152142510916</v>
      </c>
      <c r="HI23" s="21">
        <f>100*Monatswerte!HI23/Erwerbspersonen!$F24</f>
        <v>2.0506343796947375</v>
      </c>
      <c r="HJ23" s="21">
        <f>100*Monatswerte!HJ23/Erwerbspersonen!$F24</f>
        <v>2.13955077556226</v>
      </c>
      <c r="HK23" s="60">
        <f>100*Monatswerte!HK23/Erwerbspersonen!$F24</f>
        <v>2.222909896688062</v>
      </c>
      <c r="HL23" s="3">
        <f>100*Monatswerte!HL23/Erwerbspersonen!$F24</f>
        <v>2.1173216765953793</v>
      </c>
      <c r="HM23" s="3">
        <f>100*Monatswerte!HM23/Erwerbspersonen!$F24</f>
        <v>2.0006189070192559</v>
      </c>
      <c r="HN23" s="3">
        <f>100*Monatswerte!HN23/Erwerbspersonen!$F24</f>
        <v>1.8950306869265729</v>
      </c>
      <c r="HO23" s="3">
        <f>100*Monatswerte!HO23/Erwerbspersonen!$F24</f>
        <v>1.7727706426087295</v>
      </c>
      <c r="HP23" s="3">
        <f>100*Monatswerte!HP23/Erwerbspersonen!$F24</f>
        <v>1.6671824225160468</v>
      </c>
      <c r="HQ23" s="3">
        <f>100*Monatswerte!HQ23/Erwerbspersonen!$F24</f>
        <v>1.6616251477743265</v>
      </c>
      <c r="HR23" s="3">
        <f>100*Monatswerte!HR23/Erwerbspersonen!$F24</f>
        <v>1.5727087519068039</v>
      </c>
      <c r="HS23" s="3">
        <f>100*Monatswerte!HS23/Erwerbspersonen!$F24</f>
        <v>1.4837923560392816</v>
      </c>
      <c r="HT23" s="3">
        <f>100*Monatswerte!HT23/Erwerbspersonen!$F24</f>
        <v>1.42821960862208</v>
      </c>
      <c r="HU23" s="3">
        <f>100*Monatswerte!HU23/Erwerbspersonen!$F24</f>
        <v>1.4615632570724009</v>
      </c>
      <c r="HV23" s="64">
        <f>100*Monatswerte!HV23/Erwerbspersonen!$F24</f>
        <v>1.5615942024233638</v>
      </c>
      <c r="HW23" s="3">
        <f>100*[5]Monatswerte!HW23/[5]Erwerbspersonen!$F24</f>
        <v>1.5615942024233638</v>
      </c>
      <c r="HX23" s="3">
        <f>100*[5]Monatswerte!HX23/[5]Erwerbspersonen!$F24</f>
        <v>1.5949378508736847</v>
      </c>
      <c r="HY23" s="3">
        <f>100*[5]Monatswerte!HY23/[5]Erwerbspersonen!$F24</f>
        <v>1.4615632570724009</v>
      </c>
      <c r="HZ23" s="3">
        <f>100*[5]Monatswerte!HZ23/[5]Erwerbspersonen!$F24</f>
        <v>1.4393341581055203</v>
      </c>
      <c r="IA23" s="3">
        <f>100*[5]Monatswerte!IA23/[5]Erwerbspersonen!$F24</f>
        <v>1.4171050591386396</v>
      </c>
      <c r="IB23" s="3">
        <f>100*[5]Monatswerte!IB23/[5]Erwerbspersonen!$F24</f>
        <v>1.3615323117214382</v>
      </c>
      <c r="IC23" s="3">
        <f>100*[5]Monatswerte!IC23/[5]Erwerbspersonen!$F24</f>
        <v>1.4782350812975613</v>
      </c>
      <c r="ID23" s="3">
        <f>100*[5]Monatswerte!ID23/[5]Erwerbspersonen!$F24</f>
        <v>1.6616251477743265</v>
      </c>
      <c r="IE23" s="3">
        <f>100*[5]Monatswerte!IE23/[5]Erwerbspersonen!$F24</f>
        <v>1.5782660266485242</v>
      </c>
      <c r="IF23" s="3">
        <f>100*[5]Monatswerte!IF23/[5]Erwerbspersonen!$F24</f>
        <v>1.6004951256154047</v>
      </c>
      <c r="IG23" s="3">
        <f>100*[5]Monatswerte!IG23/[5]Erwerbspersonen!$F24</f>
        <v>1.6616251477743265</v>
      </c>
      <c r="IH23" s="3">
        <f>100*[5]Monatswerte!IH23/[5]Erwerbspersonen!$F24</f>
        <v>1.8116715658007707</v>
      </c>
      <c r="II23" s="60">
        <f>100*[6]Monatswerte!II23/[6]Erwerbspersonen!$G24</f>
        <v>1.8728015879596924</v>
      </c>
      <c r="IJ23" s="3">
        <f>100*[6]Monatswerte!IJ23/[6]Erwerbspersonen!$G24</f>
        <v>1.8950306869265729</v>
      </c>
      <c r="IK23" s="3">
        <f>100*[6]Monatswerte!IK23/[6]Erwerbspersonen!$G24</f>
        <v>1.7616560931252894</v>
      </c>
      <c r="IL23" s="3">
        <f>100*[6]Monatswerte!IL23/[6]Erwerbspersonen!$G24</f>
        <v>1.8061142910590506</v>
      </c>
      <c r="IM23" s="3">
        <f>100*[6]Monatswerte!IM23/[6]Erwerbspersonen!$G24</f>
        <v>1.7894424668338902</v>
      </c>
      <c r="IN23" s="3">
        <f>100*[6]Monatswerte!IN23/[6]Erwerbspersonen!$G24</f>
        <v>1.8005570163173303</v>
      </c>
      <c r="IO23" s="3">
        <f>100*[6]Monatswerte!IO23/[6]Erwerbspersonen!$G24</f>
        <v>1.8227861152842111</v>
      </c>
      <c r="IP23" s="3">
        <f>100*[6]Monatswerte!IP23/[6]Erwerbspersonen!$G24</f>
        <v>1.961717983827215</v>
      </c>
      <c r="IQ23" s="3">
        <f>100*[6]Monatswerte!IQ23/[6]Erwerbspersonen!$G24</f>
        <v>1.9561607090854947</v>
      </c>
      <c r="IR23" s="3">
        <f>100*[6]Monatswerte!IR23/[6]Erwerbspersonen!$G24</f>
        <v>1.9005879616682932</v>
      </c>
      <c r="IS23" s="3">
        <f>100*[6]Monatswerte!IS23/[6]Erwerbspersonen!$G24</f>
        <v>1.8839161374431328</v>
      </c>
      <c r="IT23" s="3">
        <f>100*[6]Monatswerte!IT23/[6]Erwerbspersonen!$G24</f>
        <v>2.0784207534033383</v>
      </c>
      <c r="IU23" s="60">
        <f>100*[7]Monatswerte!IU23/[7]Erwerbspersonen!$G24</f>
        <v>2.0873751253092951</v>
      </c>
      <c r="IV23" s="3">
        <f>100*[7]Monatswerte!IV23/[7]Erwerbspersonen!$G24</f>
        <v>1.9987862605746831</v>
      </c>
      <c r="IW23" s="3">
        <f>100*[7]Monatswerte!IW23/[7]Erwerbspersonen!$G24</f>
        <v>1.9932494565287699</v>
      </c>
      <c r="IX23" s="3">
        <f>100*[7]Monatswerte!IX23/[7]Erwerbspersonen!$G24</f>
        <v>2.081838321263382</v>
      </c>
      <c r="IY23" s="3">
        <f>100*[7]Monatswerte!IY23/[7]Erwerbspersonen!$G24</f>
        <v>2.1095223414929483</v>
      </c>
      <c r="IZ23" s="3">
        <f>100*[7]Monatswerte!IZ23/[7]Erwerbspersonen!$G24</f>
        <v>2.1981112062275603</v>
      </c>
      <c r="JA23" s="3">
        <f>100*[7]Monatswerte!JA23/[7]Erwerbspersonen!$G24</f>
        <v>2.1925744021816467</v>
      </c>
      <c r="JB23" s="3">
        <f>100*[7]Monatswerte!JB23/[7]Erwerbspersonen!$G24</f>
        <v>2.2645528547785192</v>
      </c>
      <c r="JC23" s="3">
        <f>100*[7]Monatswerte!JC23/[7]Erwerbspersonen!$G24</f>
        <v>2.2313320305030397</v>
      </c>
      <c r="JD23" s="3">
        <f>100*[7]Monatswerte!JD23/[7]Erwerbspersonen!$G24</f>
        <v>2.2811632669162587</v>
      </c>
      <c r="JE23" s="3">
        <f>100*[7]Monatswerte!JE23/[7]Erwerbspersonen!$G24</f>
        <v>2.1372063617225145</v>
      </c>
      <c r="JF23" s="3">
        <f>100*[7]Monatswerte!JF23/[7]Erwerbspersonen!$G24</f>
        <v>2.2756264628703455</v>
      </c>
      <c r="JG23" s="60">
        <f>100*[7]Monatswerte!JG23/[7]Erwerbspersonen!$G24</f>
        <v>2.3752889356967839</v>
      </c>
      <c r="JH23" s="3">
        <f>100*[7]Monatswerte!JH23/[7]Erwerbspersonen!$G24</f>
        <v>2.3918993478345238</v>
      </c>
      <c r="JI23" s="3">
        <f>100*[7]Monatswerte!JI23/[7]Erwerbspersonen!$G24</f>
        <v>2.3199208952376518</v>
      </c>
    </row>
    <row r="24" spans="1:269" s="1" customFormat="1" x14ac:dyDescent="0.2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7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7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7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7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7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7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7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7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7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7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5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5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7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5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5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5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7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60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64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60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60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60"/>
    </row>
    <row r="25" spans="1:269" s="1" customFormat="1" ht="14.25" x14ac:dyDescent="0.25">
      <c r="A25" s="5" t="s">
        <v>42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8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8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8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7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8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8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8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8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8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7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5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5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7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5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5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5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7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60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64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60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60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60"/>
    </row>
    <row r="26" spans="1:269" s="1" customFormat="1" x14ac:dyDescent="0.2">
      <c r="A26" s="1" t="s">
        <v>30</v>
      </c>
      <c r="B26" s="1">
        <v>19</v>
      </c>
      <c r="C26" s="21">
        <f>100*Monatswerte!C26/Erwerbspersonen!$B27</f>
        <v>6.6343210544947215</v>
      </c>
      <c r="D26" s="21">
        <f>100*Monatswerte!D26/Erwerbspersonen!$B27</f>
        <v>6.6114153634716697</v>
      </c>
      <c r="E26" s="21">
        <f>100*Monatswerte!E26/Erwerbspersonen!$B27</f>
        <v>6.4635695395956105</v>
      </c>
      <c r="F26" s="21">
        <f>100*Monatswerte!F26/Erwerbspersonen!$B27</f>
        <v>6.2136892738895941</v>
      </c>
      <c r="G26" s="21">
        <f>100*Monatswerte!G26/Erwerbspersonen!$B27</f>
        <v>6.0450200945380335</v>
      </c>
      <c r="H26" s="21">
        <f>100*Monatswerte!H26/Erwerbspersonen!$B27</f>
        <v>5.9200799616850261</v>
      </c>
      <c r="I26" s="21">
        <f>100*Monatswerte!I26/Erwerbspersonen!$B27</f>
        <v>5.8888449284717739</v>
      </c>
      <c r="J26" s="21">
        <f>100*Monatswerte!J26/Erwerbspersonen!$B27</f>
        <v>5.9284093038752266</v>
      </c>
      <c r="K26" s="21">
        <f>100*Monatswerte!K26/Erwerbspersonen!$B27</f>
        <v>5.7743164733565164</v>
      </c>
      <c r="L26" s="21">
        <f>100*Monatswerte!L26/Erwerbspersonen!$B27</f>
        <v>5.6077296295525061</v>
      </c>
      <c r="M26" s="21">
        <f>100*Monatswerte!M26/Erwerbspersonen!$B27</f>
        <v>5.6993523936447117</v>
      </c>
      <c r="N26" s="27">
        <f>100*Monatswerte!N26/Erwerbspersonen!$B27</f>
        <v>5.8576098952585216</v>
      </c>
      <c r="O26" s="21">
        <f>100*Monatswerte!O26/Erwerbspersonen!$B27</f>
        <v>5.901338941757075</v>
      </c>
      <c r="P26" s="21">
        <f>100*Monatswerte!P26/Erwerbspersonen!$B27</f>
        <v>5.9638090081835786</v>
      </c>
      <c r="Q26" s="21">
        <f>100*Monatswerte!Q26/Erwerbspersonen!$B27</f>
        <v>5.7639047956187657</v>
      </c>
      <c r="R26" s="21">
        <f>100*Monatswerte!R26/Erwerbspersonen!$B27</f>
        <v>5.6556233471461592</v>
      </c>
      <c r="S26" s="21">
        <f>100*Monatswerte!S26/Erwerbspersonen!$B27</f>
        <v>5.6285529850280076</v>
      </c>
      <c r="T26" s="21">
        <f>100*Monatswerte!T26/Erwerbspersonen!$B27</f>
        <v>14.48680840430627</v>
      </c>
      <c r="U26" s="21">
        <f>100*Monatswerte!U26/Erwerbspersonen!$B27</f>
        <v>5.5452595631260024</v>
      </c>
      <c r="V26" s="21">
        <f>100*Monatswerte!V26/Erwerbspersonen!$B27</f>
        <v>5.4515544634862465</v>
      </c>
      <c r="W26" s="21">
        <f>100*Monatswerte!W26/Erwerbspersonen!$B27</f>
        <v>5.4265664369156443</v>
      </c>
      <c r="X26" s="21">
        <f>100*Monatswerte!X26/Erwerbspersonen!$B27</f>
        <v>5.5015305166274491</v>
      </c>
      <c r="Y26" s="21">
        <f>100*Monatswerte!Y26/Erwerbspersonen!$B27</f>
        <v>5.4786248256043981</v>
      </c>
      <c r="Z26" s="27">
        <f>100*Monatswerte!Z26/Erwerbspersonen!$B27</f>
        <v>5.4578014701288966</v>
      </c>
      <c r="AA26" s="21">
        <f>100*Monatswerte!AA26/Erwerbspersonen!$B27</f>
        <v>5.3474376861087398</v>
      </c>
      <c r="AB26" s="21">
        <f>100*Monatswerte!AB26/Erwerbspersonen!$B27</f>
        <v>5.230826895445932</v>
      </c>
      <c r="AC26" s="21">
        <f>100*Monatswerte!AC26/Erwerbspersonen!$B27</f>
        <v>5.1475334735439269</v>
      </c>
      <c r="AD26" s="21">
        <f>100*Monatswerte!AD26/Erwerbspersonen!$B27</f>
        <v>4.9996876496678677</v>
      </c>
      <c r="AE26" s="21">
        <f>100*Monatswerte!AE26/Erwerbspersonen!$B27</f>
        <v>4.8768298523624098</v>
      </c>
      <c r="AF26" s="21">
        <f>100*Monatswerte!AF26/Erwerbspersonen!$B27</f>
        <v>4.7831247527226539</v>
      </c>
      <c r="AG26" s="21">
        <f>100*Monatswerte!AG26/Erwerbspersonen!$B27</f>
        <v>4.8476771546967079</v>
      </c>
      <c r="AH26" s="21">
        <f>100*Monatswerte!AH26/Erwerbspersonen!$B27</f>
        <v>4.7602190616996021</v>
      </c>
      <c r="AI26" s="21">
        <f>100*Monatswerte!AI26/Erwerbspersonen!$B27</f>
        <v>4.7727130749849032</v>
      </c>
      <c r="AJ26" s="21">
        <f>100*Monatswerte!AJ26/Erwerbspersonen!$B27</f>
        <v>4.6561022843220954</v>
      </c>
      <c r="AK26" s="21">
        <f>100*Monatswerte!AK26/Erwerbspersonen!$B27</f>
        <v>4.5998792245382418</v>
      </c>
      <c r="AL26" s="27">
        <f>100*Monatswerte!AL26/Erwerbspersonen!$B27</f>
        <v>4.6685962976073965</v>
      </c>
      <c r="AM26" s="21">
        <f>100*Monatswerte!AM26/Erwerbspersonen!$B27</f>
        <v>4.5686441913249904</v>
      </c>
      <c r="AN26" s="21">
        <f>100*Monatswerte!AN26/Erwerbspersonen!$B27</f>
        <v>4.489515440518085</v>
      </c>
      <c r="AO26" s="21">
        <f>100*Monatswerte!AO26/Erwerbspersonen!$B27</f>
        <v>4.3687399787601775</v>
      </c>
      <c r="AP26" s="21">
        <f>100*Monatswerte!AP26/Erwerbspersonen!$B27</f>
        <v>4.2687878724777715</v>
      </c>
      <c r="AQ26" s="21">
        <f>100*Monatswerte!AQ26/Erwerbspersonen!$B27</f>
        <v>4.1688357661953646</v>
      </c>
      <c r="AR26" s="21">
        <f>100*Monatswerte!AR26/Erwerbspersonen!$B27</f>
        <v>4.012660600129105</v>
      </c>
      <c r="AS26" s="21">
        <f>100*Monatswerte!AS26/Erwerbspersonen!$B27</f>
        <v>4.0459779688899067</v>
      </c>
      <c r="AT26" s="21">
        <f>100*Monatswerte!AT26/Erwerbspersonen!$B27</f>
        <v>4.0397309622472566</v>
      </c>
      <c r="AU26" s="21">
        <f>100*Monatswerte!AU26/Erwerbspersonen!$B27</f>
        <v>4.0189076067717551</v>
      </c>
      <c r="AV26" s="21">
        <f>100*Monatswerte!AV26/Erwerbspersonen!$B27</f>
        <v>3.998084251296254</v>
      </c>
      <c r="AW26" s="21">
        <f>100*Monatswerte!AW26/Erwerbspersonen!$B27</f>
        <v>4.0168252712242047</v>
      </c>
      <c r="AX26" s="27">
        <f>100*Monatswerte!AX26/Erwerbspersonen!$B27</f>
        <v>4.0522249755325577</v>
      </c>
      <c r="AY26" s="21">
        <f>100*Monatswerte!AY26/Erwerbspersonen!$C27</f>
        <v>3.783586532736666</v>
      </c>
      <c r="AZ26" s="21">
        <f>100*Monatswerte!AZ26/Erwerbspersonen!$C27</f>
        <v>3.6049705187546817</v>
      </c>
      <c r="BA26" s="21">
        <f>100*Monatswerte!BA26/Erwerbspersonen!$C27</f>
        <v>3.5050991991088405</v>
      </c>
      <c r="BB26" s="21">
        <f>100*Monatswerte!BB26/Erwerbspersonen!$C27</f>
        <v>3.4762901645956172</v>
      </c>
      <c r="BC26" s="21">
        <f>100*Monatswerte!BC26/Erwerbspersonen!$C27</f>
        <v>3.1901204217642651</v>
      </c>
      <c r="BD26" s="21">
        <f>100*Monatswerte!BD26/Erwerbspersonen!$C27</f>
        <v>3.0326310330919775</v>
      </c>
      <c r="BE26" s="21">
        <f>100*Monatswerte!BE26/Erwerbspersonen!$C27</f>
        <v>3.0537576584016746</v>
      </c>
      <c r="BF26" s="21">
        <f>100*Monatswerte!BF26/Erwerbspersonen!$C27</f>
        <v>3.0979315113219505</v>
      </c>
      <c r="BG26" s="21">
        <f>100*Monatswerte!BG26/Erwerbspersonen!$C27</f>
        <v>3.1901204217642651</v>
      </c>
      <c r="BH26" s="21">
        <f>100*Monatswerte!BH26/Erwerbspersonen!$C27</f>
        <v>3.2400560815871859</v>
      </c>
      <c r="BI26" s="21">
        <f>100*Monatswerte!BI26/Erwerbspersonen!$C27</f>
        <v>3.4839725737991434</v>
      </c>
      <c r="BJ26" s="27">
        <f>100*Monatswerte!BJ26/Erwerbspersonen!$C27</f>
        <v>3.8200779764534158</v>
      </c>
      <c r="BK26" s="21">
        <f>100*Monatswerte!BK26/Erwerbspersonen!$C27</f>
        <v>4.163865788311214</v>
      </c>
      <c r="BL26" s="21">
        <f>100*Monatswerte!BL26/Erwerbspersonen!$C27</f>
        <v>4.3482436091958441</v>
      </c>
      <c r="BM26" s="21">
        <f>100*Monatswerte!BM26/Erwerbspersonen!$C27</f>
        <v>4.5422244415848807</v>
      </c>
      <c r="BN26" s="21">
        <f>100*Monatswerte!BN26/Erwerbspersonen!$C27</f>
        <v>4.6670635911421821</v>
      </c>
      <c r="BO26" s="21">
        <f>100*Monatswerte!BO26/Erwerbspersonen!$C27</f>
        <v>4.707396239460695</v>
      </c>
      <c r="BP26" s="21">
        <f>100*Monatswerte!BP26/Erwerbspersonen!$C27</f>
        <v>4.9282655040620735</v>
      </c>
      <c r="BQ26" s="21">
        <f>100*Monatswerte!BQ26/Erwerbspersonen!$C27</f>
        <v>5.1683407916722688</v>
      </c>
      <c r="BR26" s="21">
        <f>100*Monatswerte!BR26/Erwerbspersonen!$C27</f>
        <v>5.2394030768048863</v>
      </c>
      <c r="BS26" s="21">
        <f>100*Monatswerte!BS26/Erwerbspersonen!$C27</f>
        <v>5.2317206676013601</v>
      </c>
      <c r="BT26" s="21">
        <f>100*Monatswerte!BT26/Erwerbspersonen!$C27</f>
        <v>5.3776864424683577</v>
      </c>
      <c r="BU26" s="21">
        <f>100*Monatswerte!BU26/Erwerbspersonen!$C27</f>
        <v>5.6465707645917762</v>
      </c>
      <c r="BV26" s="27">
        <f>100*Monatswerte!BV26/Erwerbspersonen!$C27</f>
        <v>5.9788349626442852</v>
      </c>
      <c r="BW26" s="21">
        <f>100*Monatswerte!BW26/Erwerbspersonen!$C27</f>
        <v>5.9058520752107864</v>
      </c>
      <c r="BX26" s="21">
        <f>100*Monatswerte!BX26/Erwerbspersonen!$C27</f>
        <v>5.7522038911402618</v>
      </c>
      <c r="BY26" s="21">
        <f>100*Monatswerte!BY26/Erwerbspersonen!$C27</f>
        <v>5.6561737760961837</v>
      </c>
      <c r="BZ26" s="21">
        <f>100*Monatswerte!BZ26/Erwerbspersonen!$C27</f>
        <v>5.4525899322027387</v>
      </c>
      <c r="CA26" s="21">
        <f>100*Monatswerte!CA26/Erwerbspersonen!$C27</f>
        <v>5.1856262123802024</v>
      </c>
      <c r="CB26" s="21">
        <f>100*Monatswerte!CB26/Erwerbspersonen!$C27</f>
        <v>4.9225036971594296</v>
      </c>
      <c r="CC26" s="21">
        <f>100*Monatswerte!CC26/Erwerbspersonen!$C27</f>
        <v>4.8283941844162328</v>
      </c>
      <c r="CD26" s="21">
        <f>100*Monatswerte!CD26/Erwerbspersonen!$C27</f>
        <v>4.809188161407417</v>
      </c>
      <c r="CE26" s="21">
        <f>100*Monatswerte!CE26/Erwerbspersonen!$C27</f>
        <v>4.6075249198148542</v>
      </c>
      <c r="CF26" s="21">
        <f>100*Monatswerte!CF26/Erwerbspersonen!$C27</f>
        <v>4.6152073290183804</v>
      </c>
      <c r="CG26" s="21">
        <f>100*Monatswerte!CG26/Erwerbspersonen!$C27</f>
        <v>4.5114948047707761</v>
      </c>
      <c r="CH26" s="27">
        <f>100*Monatswerte!CH26/Erwerbspersonen!$C27</f>
        <v>4.551827453089289</v>
      </c>
      <c r="CI26" s="21">
        <f>100*Monatswerte!CI26/Erwerbspersonen!$C27</f>
        <v>4.4500355311425661</v>
      </c>
      <c r="CJ26" s="21">
        <f>100*Monatswerte!CJ26/Erwerbspersonen!$C27</f>
        <v>4.2560546987535295</v>
      </c>
      <c r="CK26" s="21">
        <f>100*Monatswerte!CK26/Erwerbspersonen!$C27</f>
        <v>4.1965160274262008</v>
      </c>
      <c r="CL26" s="21">
        <f>100*Monatswerte!CL26/Erwerbspersonen!$C27</f>
        <v>3.8642518293736914</v>
      </c>
      <c r="CM26" s="21">
        <f>100*Monatswerte!CM26/Erwerbspersonen!$C27</f>
        <v>3.5070198014097222</v>
      </c>
      <c r="CN26" s="21">
        <f>100*Monatswerte!CN26/Erwerbspersonen!$C27</f>
        <v>3.434036913976223</v>
      </c>
      <c r="CO26" s="21">
        <f>100*Monatswerte!CO26/Erwerbspersonen!$C27</f>
        <v>3.3687364357462499</v>
      </c>
      <c r="CP26" s="21">
        <f>100*Monatswerte!CP26/Erwerbspersonen!$C27</f>
        <v>3.6414619624714311</v>
      </c>
      <c r="CQ26" s="21">
        <f>100*Monatswerte!CQ26/Erwerbspersonen!$C27</f>
        <v>3.6453031670731941</v>
      </c>
      <c r="CR26" s="21">
        <f>100*Monatswerte!CR26/Erwerbspersonen!$C27</f>
        <v>3.7125242476040485</v>
      </c>
      <c r="CS26" s="21">
        <f>100*Monatswerte!CS26/Erwerbspersonen!$C27</f>
        <v>3.8469664086657578</v>
      </c>
      <c r="CT26" s="27">
        <f>100*Monatswerte!CT26/Erwerbspersonen!$C27</f>
        <v>3.9525995352142433</v>
      </c>
      <c r="CU26" s="21">
        <f>100*Monatswerte!CU26/Erwerbspersonen!$C27</f>
        <v>3.9718055582230587</v>
      </c>
      <c r="CV26" s="21">
        <f>100*Monatswerte!CV26/Erwerbspersonen!$C27</f>
        <v>3.9679643536212956</v>
      </c>
      <c r="CW26" s="21">
        <f>100*Monatswerte!CW26/Erwerbspersonen!$C27</f>
        <v>3.7874277373384295</v>
      </c>
      <c r="CX26" s="21">
        <f>100*Monatswerte!CX26/Erwerbspersonen!$C27</f>
        <v>3.7394126798163905</v>
      </c>
      <c r="CY26" s="21">
        <f>100*Monatswerte!CY26/Erwerbspersonen!$C27</f>
        <v>3.6453031670731941</v>
      </c>
      <c r="CZ26" s="21">
        <f>100*Monatswerte!CZ26/Erwerbspersonen!$C27</f>
        <v>3.5876850980467476</v>
      </c>
      <c r="DA26" s="21">
        <f>100*Monatswerte!DA26/Erwerbspersonen!$C27</f>
        <v>3.6395413601705493</v>
      </c>
      <c r="DB26" s="21">
        <f>100*Monatswerte!DB26/Erwerbspersonen!$C27</f>
        <v>3.7566981005243245</v>
      </c>
      <c r="DC26" s="21">
        <f>100*Monatswerte!DC26/Erwerbspersonen!$C27</f>
        <v>3.6606679854802464</v>
      </c>
      <c r="DD26" s="21">
        <f>100*Monatswerte!DD26/Erwerbspersonen!$C27</f>
        <v>3.8104749649490079</v>
      </c>
      <c r="DE26" s="21">
        <f>100*Monatswerte!DE26/Erwerbspersonen!$C27</f>
        <v>4.123533139992702</v>
      </c>
      <c r="DF26" s="27">
        <f>100*Monatswerte!DF26/Erwerbspersonen!$C27</f>
        <v>4.2925461424702789</v>
      </c>
      <c r="DG26" s="21">
        <f>100*Monatswerte!DG26/Erwerbspersonen!$C27</f>
        <v>4.3885762575143561</v>
      </c>
      <c r="DH26" s="21">
        <f>100*Monatswerte!DH26/Erwerbspersonen!$C27</f>
        <v>4.4135440874258167</v>
      </c>
      <c r="DI26" s="21">
        <f>100*Monatswerte!DI26/Erwerbspersonen!$C27</f>
        <v>4.3693702345055412</v>
      </c>
      <c r="DJ26" s="21">
        <f>100*Monatswerte!DJ26/Erwerbspersonen!$C27</f>
        <v>4.2829431309658705</v>
      </c>
      <c r="DK26" s="21">
        <f>100*Monatswerte!DK26/Erwerbspersonen!$C27</f>
        <v>4.1811512090191485</v>
      </c>
      <c r="DL26" s="21">
        <f>100*Monatswerte!DL26/Erwerbspersonen!$C27</f>
        <v>4.0697562755680181</v>
      </c>
      <c r="DM26" s="21">
        <f>100*Monatswerte!DM26/Erwerbspersonen!$C27</f>
        <v>4.0543914571609658</v>
      </c>
      <c r="DN26" s="21">
        <f>100*Monatswerte!DN26/Erwerbspersonen!$C27</f>
        <v>3.9487583306124803</v>
      </c>
      <c r="DO26" s="21">
        <f>100*Monatswerte!DO26/Erwerbspersonen!$C27</f>
        <v>3.8258397833560607</v>
      </c>
      <c r="DP26" s="21">
        <f>100*Monatswerte!DP26/Erwerbspersonen!$C27</f>
        <v>3.9852497743292297</v>
      </c>
      <c r="DQ26" s="21">
        <f>100*Monatswerte!DQ26/Erwerbspersonen!$C27</f>
        <v>4.0966447077803601</v>
      </c>
      <c r="DR26" s="27">
        <f>100*Monatswerte!DR26/Erwerbspersonen!$C27</f>
        <v>4.1581039814085701</v>
      </c>
      <c r="DS26" s="21">
        <f>100*Monatswerte!DS26/Erwerbspersonen!$D27</f>
        <v>3.9889076963936549</v>
      </c>
      <c r="DT26" s="21">
        <f>100*Monatswerte!DT26/Erwerbspersonen!$D27</f>
        <v>3.9132527377138322</v>
      </c>
      <c r="DU26" s="21">
        <f>100*Monatswerte!DU26/Erwerbspersonen!$D27</f>
        <v>3.7884220558921249</v>
      </c>
      <c r="DV26" s="21">
        <f>100*Monatswerte!DV26/Erwerbspersonen!$D27</f>
        <v>3.7373549587832446</v>
      </c>
      <c r="DW26" s="21">
        <f>100*Monatswerte!DW26/Erwerbspersonen!$D27</f>
        <v>3.6011760331595633</v>
      </c>
      <c r="DX26" s="21">
        <f>100*Monatswerte!DX26/Erwerbspersonen!$D27</f>
        <v>3.5652399277866476</v>
      </c>
      <c r="DY26" s="21">
        <f>100*Monatswerte!DY26/Erwerbspersonen!$D27</f>
        <v>3.6011760331595633</v>
      </c>
      <c r="DZ26" s="21">
        <f>100*Monatswerte!DZ26/Erwerbspersonen!$D27</f>
        <v>3.5084987087767807</v>
      </c>
      <c r="EA26" s="21">
        <f>100*Monatswerte!EA26/Erwerbspersonen!$D27</f>
        <v>3.3950162707570466</v>
      </c>
      <c r="EB26" s="21">
        <f>100*Monatswerte!EB26/Erwerbspersonen!$D27</f>
        <v>3.3761025310870907</v>
      </c>
      <c r="EC26" s="21">
        <f>100*Monatswerte!EC26/Erwerbspersonen!$D27</f>
        <v>3.4858022211728339</v>
      </c>
      <c r="ED26" s="21">
        <f>100*Monatswerte!ED26/Erwerbspersonen!$D27</f>
        <v>3.6598086261364262</v>
      </c>
      <c r="EE26" s="25">
        <f>100*Monatswerte!EE26/Erwerbspersonen!$D27</f>
        <v>3.6163070248955278</v>
      </c>
      <c r="EF26" s="21">
        <f>100*Monatswerte!EF26/Erwerbspersonen!$D27</f>
        <v>3.6730482439053951</v>
      </c>
      <c r="EG26" s="21">
        <f>100*Monatswerte!EG26/Erwerbspersonen!$D27</f>
        <v>3.7089843492783108</v>
      </c>
      <c r="EH26" s="21">
        <f>100*Monatswerte!EH26/Erwerbspersonen!$D27</f>
        <v>3.7241153410142753</v>
      </c>
      <c r="EI26" s="21">
        <f>100*Monatswerte!EI26/Erwerbspersonen!$D27</f>
        <v>3.7070929753113155</v>
      </c>
      <c r="EJ26" s="21">
        <f>100*Monatswerte!EJ26/Erwerbspersonen!$D27</f>
        <v>3.7316808368822576</v>
      </c>
      <c r="EK26" s="21">
        <f>100*Monatswerte!EK26/Erwerbspersonen!$D27</f>
        <v>3.9132527377138322</v>
      </c>
      <c r="EL26" s="21">
        <f>100*Monatswerte!EL26/Erwerbspersonen!$D27</f>
        <v>3.9472974691197527</v>
      </c>
      <c r="EM26" s="21">
        <f>100*Monatswerte!EM26/Erwerbspersonen!$D27</f>
        <v>3.9699939567236995</v>
      </c>
      <c r="EN26" s="21">
        <f>100*Monatswerte!EN26/Erwerbspersonen!$D27</f>
        <v>4.0551057852385002</v>
      </c>
      <c r="EO26" s="21">
        <f>100*Monatswerte!EO26/Erwerbspersonen!$D27</f>
        <v>4.2877447831789546</v>
      </c>
      <c r="EP26" s="21">
        <f>100*Monatswerte!EP26/Erwerbspersonen!$D27</f>
        <v>4.4655339360765387</v>
      </c>
      <c r="EQ26" s="25">
        <f>100*Monatswerte!EQ26/Erwerbspersonen!$D27</f>
        <v>4.4163582129346537</v>
      </c>
      <c r="ER26" s="21">
        <f>100*Monatswerte!ER26/Erwerbspersonen!$D27</f>
        <v>4.389878977396716</v>
      </c>
      <c r="ES26" s="21">
        <f>100*Monatswerte!ES26/Erwerbspersonen!$D27</f>
        <v>4.3047671488819148</v>
      </c>
      <c r="ET26" s="21">
        <f>100*Monatswerte!ET26/Erwerbspersonen!$D27</f>
        <v>4.1856105889611941</v>
      </c>
      <c r="EU26" s="21">
        <f>100*Monatswerte!EU26/Erwerbspersonen!$D27</f>
        <v>4.1856105889611941</v>
      </c>
      <c r="EV26" s="21">
        <f>100*Monatswerte!EV26/Erwerbspersonen!$D27</f>
        <v>4.2158725724331232</v>
      </c>
      <c r="EW26" s="21">
        <f>100*Monatswerte!EW26/Erwerbspersonen!$D27</f>
        <v>4.1761537191262166</v>
      </c>
      <c r="EX26" s="21">
        <f>100*Monatswerte!EX26/Erwerbspersonen!$D27</f>
        <v>4.2574827997070255</v>
      </c>
      <c r="EY26" s="21">
        <f>100*Monatswerte!EY26/Erwerbspersonen!$D27</f>
        <v>4.3198981406178794</v>
      </c>
      <c r="EZ26" s="21">
        <f>100*Monatswerte!EZ26/Erwerbspersonen!$D27</f>
        <v>4.3180067666508846</v>
      </c>
      <c r="FA26" s="21">
        <f>100*Monatswerte!FA26/Erwerbspersonen!$D27</f>
        <v>4.4598598141755517</v>
      </c>
      <c r="FB26" s="27">
        <f>100*Monatswerte!FB26/Erwerbspersonen!$D27</f>
        <v>4.5430802687233571</v>
      </c>
      <c r="FC26" s="21">
        <f>100*Monatswerte!FC26/Erwerbspersonen!$E27</f>
        <v>4.5512261169184978</v>
      </c>
      <c r="FD26" s="21">
        <f>100*Monatswerte!FD26/Erwerbspersonen!$E27</f>
        <v>4.4337995587624643</v>
      </c>
      <c r="FE26" s="21">
        <f>100*Monatswerte!FE26/Erwerbspersonen!$E27</f>
        <v>4.4356935355069167</v>
      </c>
      <c r="FF26" s="21">
        <f>100*Monatswerte!FF26/Erwerbspersonen!$E27</f>
        <v>4.2595536982728675</v>
      </c>
      <c r="FG26" s="21">
        <f>100*Monatswerte!FG26/Erwerbspersonen!$E27</f>
        <v>4.1383391866279302</v>
      </c>
      <c r="FH26" s="21">
        <f>100*Monatswerte!FH26/Erwerbspersonen!$E27</f>
        <v>4.0284885354497062</v>
      </c>
      <c r="FI26" s="21">
        <f>100*Monatswerte!FI26/Erwerbspersonen!$E27</f>
        <v>4.0152306982385415</v>
      </c>
      <c r="FJ26" s="21">
        <f>100*Monatswerte!FJ26/Erwerbspersonen!$E27</f>
        <v>3.9584113959049771</v>
      </c>
      <c r="FK26" s="21">
        <f>100*Monatswerte!FK26/Erwerbspersonen!$E27</f>
        <v>3.9489415121827163</v>
      </c>
      <c r="FL26" s="21">
        <f>100*Monatswerte!FL26/Erwerbspersonen!$E27</f>
        <v>3.9697752563716899</v>
      </c>
      <c r="FM26" s="21">
        <f>100*Monatswerte!FM26/Erwerbspersonen!$E27</f>
        <v>4.077731930805462</v>
      </c>
      <c r="FN26" s="21">
        <f>100*Monatswerte!FN26/Erwerbspersonen!$E27</f>
        <v>4.0815198842943667</v>
      </c>
      <c r="FO26" s="25">
        <f>100*Monatswerte!FO26/Erwerbspersonen!$E27</f>
        <v>4.0436403494053232</v>
      </c>
      <c r="FP26" s="21">
        <f>100*Monatswerte!FP26/Erwerbspersonen!$E27</f>
        <v>3.984927070327307</v>
      </c>
      <c r="FQ26" s="21">
        <f>100*Monatswerte!FQ26/Erwerbspersonen!$E27</f>
        <v>3.9375776517160035</v>
      </c>
      <c r="FR26" s="21">
        <f>100*Monatswerte!FR26/Erwerbspersonen!$E27</f>
        <v>3.7974233726265449</v>
      </c>
      <c r="FS26" s="21">
        <f>100*Monatswerte!FS26/Erwerbspersonen!$E27</f>
        <v>3.6421172795814694</v>
      </c>
      <c r="FT26" s="21">
        <f>100*Monatswerte!FT26/Erwerbspersonen!$E27</f>
        <v>3.4565075586251592</v>
      </c>
      <c r="FU26" s="21">
        <f>100*Monatswerte!FU26/Erwerbspersonen!$E27</f>
        <v>3.4565075586251592</v>
      </c>
      <c r="FV26" s="21">
        <f>100*Monatswerte!FV26/Erwerbspersonen!$E27</f>
        <v>3.435673814436186</v>
      </c>
      <c r="FW26" s="21">
        <f>100*Monatswerte!FW26/Erwerbspersonen!$E27</f>
        <v>3.358020767913648</v>
      </c>
      <c r="FX26" s="21">
        <f>100*Monatswerte!FX26/Erwerbspersonen!$E27</f>
        <v>3.3674906516359089</v>
      </c>
      <c r="FY26" s="21">
        <f>100*Monatswerte!FY26/Erwerbspersonen!$E27</f>
        <v>3.4621894888585159</v>
      </c>
      <c r="FZ26" s="21">
        <f>100*Monatswerte!FZ26/Erwerbspersonen!$E27</f>
        <v>3.5890859307368093</v>
      </c>
      <c r="GA26" s="25">
        <f>100*Monatswerte!GA26/Erwerbspersonen!$E27</f>
        <v>3.5947678609701659</v>
      </c>
      <c r="GB26" s="21">
        <f>100*Monatswerte!GB26/Erwerbspersonen!$E27</f>
        <v>3.4451436981584465</v>
      </c>
      <c r="GC26" s="21">
        <f>100*Monatswerte!GC26/Erwerbspersonen!$E27</f>
        <v>3.3864304190804302</v>
      </c>
      <c r="GD26" s="21">
        <f>100*Monatswerte!GD26/Erwerbspersonen!$E27</f>
        <v>3.2993074888356317</v>
      </c>
      <c r="GE26" s="21">
        <f>100*Monatswerte!GE26/Erwerbspersonen!$E27</f>
        <v>3.1780929771906945</v>
      </c>
      <c r="GF26" s="21">
        <f>100*Monatswerte!GF26/Erwerbspersonen!$E27</f>
        <v>3.1686230934684336</v>
      </c>
      <c r="GG26" s="21">
        <f>100*Monatswerte!GG26/Erwerbspersonen!$E27</f>
        <v>3.1724110469573379</v>
      </c>
      <c r="GH26" s="21">
        <f>100*Monatswerte!GH26/Erwerbspersonen!$E27</f>
        <v>3.1326375353238429</v>
      </c>
      <c r="GI26" s="21">
        <f>100*Monatswerte!GI26/Erwerbspersonen!$E27</f>
        <v>3.1724110469573379</v>
      </c>
      <c r="GJ26" s="21">
        <f>100*Monatswerte!GJ26/Erwerbspersonen!$E27</f>
        <v>3.318247256280153</v>
      </c>
      <c r="GK26" s="21">
        <f>100*Monatswerte!GK26/Erwerbspersonen!$E27</f>
        <v>3.4584015353696116</v>
      </c>
      <c r="GL26" s="21">
        <f>100*Monatswerte!GL26/Erwerbspersonen!$E27</f>
        <v>3.5758280935256446</v>
      </c>
      <c r="GM26" s="25">
        <f>100*Monatswerte!GM26/Erwerbspersonen!$F27</f>
        <v>3.5457224653671764</v>
      </c>
      <c r="GN26" s="21">
        <f>100*Monatswerte!GN26/Erwerbspersonen!$F27</f>
        <v>3.477357832111009</v>
      </c>
      <c r="GO26" s="21">
        <f>100*Monatswerte!GO26/Erwerbspersonen!$F27</f>
        <v>3.815485612810432</v>
      </c>
      <c r="GP26" s="21">
        <f>100*Monatswerte!GP26/Erwerbspersonen!$F27</f>
        <v>4.1776333997890491</v>
      </c>
      <c r="GQ26" s="21">
        <f>100*Monatswerte!GQ26/Erwerbspersonen!$F27</f>
        <v>4.3771842211854306</v>
      </c>
      <c r="GR26" s="21">
        <f>100*Monatswerte!GR26/Erwerbspersonen!$F27</f>
        <v>4.5933642776981767</v>
      </c>
      <c r="GS26" s="21">
        <f>100*Monatswerte!GS26/Erwerbspersonen!$F27</f>
        <v>4.7319412370012186</v>
      </c>
      <c r="GT26" s="21">
        <f>100*Monatswerte!GT26/Erwerbspersonen!$F27</f>
        <v>4.7984581774666788</v>
      </c>
      <c r="GU26" s="21">
        <f>100*Monatswerte!GU26/Erwerbspersonen!$F27</f>
        <v>4.8150874125830443</v>
      </c>
      <c r="GV26" s="21">
        <f>100*Monatswerte!GV26/Erwerbspersonen!$F27</f>
        <v>4.9314920583976001</v>
      </c>
      <c r="GW26" s="21">
        <f>100*Monatswerte!GW26/Erwerbspersonen!$F27</f>
        <v>5.156910578863882</v>
      </c>
      <c r="GX26" s="27">
        <f>100*Monatswerte!GX26/Erwerbspersonen!$F27</f>
        <v>5.2437521400271221</v>
      </c>
      <c r="GY26" s="21">
        <f>100*Monatswerte!GY26/Erwerbspersonen!$F27</f>
        <v>5.2197321337479279</v>
      </c>
      <c r="GZ26" s="21">
        <f>100*Monatswerte!GZ26/Erwerbspersonen!$F27</f>
        <v>5.2012552058408552</v>
      </c>
      <c r="HA26" s="21">
        <f>100*Monatswerte!HA26/Erwerbspersonen!$F27</f>
        <v>5.1070228735147865</v>
      </c>
      <c r="HB26" s="21">
        <f>100*Monatswerte!HB26/Erwerbspersonen!$F27</f>
        <v>5.0220290051422536</v>
      </c>
      <c r="HC26" s="21">
        <f>100*Monatswerte!HC26/Erwerbspersonen!$F27</f>
        <v>4.9056243593276987</v>
      </c>
      <c r="HD26" s="21">
        <f>100*Monatswerte!HD26/Erwerbspersonen!$F27</f>
        <v>4.7282458514198042</v>
      </c>
      <c r="HE26" s="21">
        <f>100*Monatswerte!HE26/Erwerbspersonen!$F27</f>
        <v>4.5564104218840313</v>
      </c>
      <c r="HF26" s="21">
        <f>100*Monatswerte!HF26/Erwerbspersonen!$F27</f>
        <v>4.4048996130460392</v>
      </c>
      <c r="HG26" s="21">
        <f>100*Monatswerte!HG26/Erwerbspersonen!$F27</f>
        <v>4.3457734437434077</v>
      </c>
      <c r="HH26" s="21">
        <f>100*Monatswerte!HH26/Erwerbspersonen!$F27</f>
        <v>4.2256734123474375</v>
      </c>
      <c r="HI26" s="21">
        <f>100*Monatswerte!HI26/Erwerbspersonen!$F27</f>
        <v>4.3420780581619933</v>
      </c>
      <c r="HJ26" s="21">
        <f>100*Monatswerte!HJ26/Erwerbspersonen!$F27</f>
        <v>4.3217534374642135</v>
      </c>
      <c r="HK26" s="60">
        <f>100*Monatswerte!HK26/Erwerbspersonen!$F27</f>
        <v>4.3180580518827991</v>
      </c>
      <c r="HL26" s="3">
        <f>100*Monatswerte!HL26/Erwerbspersonen!$F27</f>
        <v>4.3291442086270422</v>
      </c>
      <c r="HM26" s="3">
        <f>100*Monatswerte!HM26/Erwerbspersonen!$F27</f>
        <v>4.1739380142076348</v>
      </c>
      <c r="HN26" s="3">
        <f>100*Monatswerte!HN26/Erwerbspersonen!$F27</f>
        <v>3.9318902586249878</v>
      </c>
      <c r="HO26" s="3">
        <f>100*Monatswerte!HO26/Erwerbspersonen!$F27</f>
        <v>3.6732132679259752</v>
      </c>
      <c r="HP26" s="3">
        <f>100*Monatswerte!HP26/Erwerbspersonen!$F27</f>
        <v>3.5438747725764692</v>
      </c>
      <c r="HQ26" s="3">
        <f>100*Monatswerte!HQ26/Erwerbspersonen!$F27</f>
        <v>3.4736624465295942</v>
      </c>
      <c r="HR26" s="3">
        <f>100*Monatswerte!HR26/Erwerbspersonen!$F27</f>
        <v>3.320303944900894</v>
      </c>
      <c r="HS26" s="3">
        <f>100*Monatswerte!HS26/Erwerbspersonen!$F27</f>
        <v>3.1226008162952206</v>
      </c>
      <c r="HT26" s="3">
        <f>100*Monatswerte!HT26/Erwerbspersonen!$F27</f>
        <v>3.1318392802487565</v>
      </c>
      <c r="HU26" s="3">
        <f>100*Monatswerte!HU26/Erwerbspersonen!$F27</f>
        <v>3.1447731297837072</v>
      </c>
      <c r="HV26" s="64">
        <f>100*Monatswerte!HV26/Erwerbspersonen!$F27</f>
        <v>3.0209777128063227</v>
      </c>
      <c r="HW26" s="3">
        <f>100*[5]Monatswerte!HW26/[5]Erwerbspersonen!$F27</f>
        <v>3.0191300200156155</v>
      </c>
      <c r="HX26" s="3">
        <f>100*[5]Monatswerte!HX26/[5]Erwerbspersonen!$F27</f>
        <v>3.0690177253647106</v>
      </c>
      <c r="HY26" s="3">
        <f>100*[5]Monatswerte!HY26/[5]Erwerbspersonen!$F27</f>
        <v>3.0431500262948097</v>
      </c>
      <c r="HZ26" s="3">
        <f>100*[5]Monatswerte!HZ26/[5]Erwerbspersonen!$F27</f>
        <v>2.9230499948988395</v>
      </c>
      <c r="IA26" s="3">
        <f>100*[5]Monatswerte!IA26/[5]Erwerbspersonen!$F27</f>
        <v>2.9101161453638889</v>
      </c>
      <c r="IB26" s="3">
        <f>100*[5]Monatswerte!IB26/[5]Erwerbspersonen!$F27</f>
        <v>2.8731622895497444</v>
      </c>
      <c r="IC26" s="3">
        <f>100*[5]Monatswerte!IC26/[5]Erwerbspersonen!$F27</f>
        <v>2.917506916526718</v>
      </c>
      <c r="ID26" s="3">
        <f>100*[5]Monatswerte!ID26/[5]Erwerbspersonen!$F27</f>
        <v>2.9470700011780333</v>
      </c>
      <c r="IE26" s="3">
        <f>100*[5]Monatswerte!IE26/[5]Erwerbspersonen!$F27</f>
        <v>2.9138115309453032</v>
      </c>
      <c r="IF26" s="3">
        <f>100*[5]Monatswerte!IF26/[5]Erwerbspersonen!$F27</f>
        <v>2.9581561579222768</v>
      </c>
      <c r="IG26" s="3">
        <f>100*[5]Monatswerte!IG26/[5]Erwerbspersonen!$F27</f>
        <v>3.0690177253647106</v>
      </c>
      <c r="IH26" s="3">
        <f>100*[5]Monatswerte!IH26/[5]Erwerbspersonen!$F27</f>
        <v>3.1318392802487565</v>
      </c>
      <c r="II26" s="60">
        <f>100*[6]Monatswerte!II26/[6]Erwerbspersonen!$G27</f>
        <v>3.218713122714004</v>
      </c>
      <c r="IJ26" s="3">
        <f>100*[6]Monatswerte!IJ26/[6]Erwerbspersonen!$G27</f>
        <v>3.1871389028143282</v>
      </c>
      <c r="IK26" s="3">
        <f>100*[6]Monatswerte!IK26/[6]Erwerbspersonen!$G27</f>
        <v>3.2354288861903031</v>
      </c>
      <c r="IL26" s="3">
        <f>100*[6]Monatswerte!IL26/[6]Erwerbspersonen!$G27</f>
        <v>3.2410008073490695</v>
      </c>
      <c r="IM26" s="3">
        <f>100*[6]Monatswerte!IM26/[6]Erwerbspersonen!$G27</f>
        <v>3.2781469484075116</v>
      </c>
      <c r="IN26" s="3">
        <f>100*[6]Monatswerte!IN26/[6]Erwerbspersonen!$G27</f>
        <v>3.3635830728419283</v>
      </c>
      <c r="IO26" s="3">
        <f>100*[6]Monatswerte!IO26/[6]Erwerbspersonen!$G27</f>
        <v>3.5084530229698521</v>
      </c>
      <c r="IP26" s="3">
        <f>100*[6]Monatswerte!IP26/[6]Erwerbspersonen!$G27</f>
        <v>3.6031756826688794</v>
      </c>
      <c r="IQ26" s="3">
        <f>100*[6]Monatswerte!IQ26/[6]Erwerbspersonen!$G27</f>
        <v>3.666324122468231</v>
      </c>
      <c r="IR26" s="3">
        <f>100*[6]Monatswerte!IR26/[6]Erwerbspersonen!$G27</f>
        <v>3.8334817572312203</v>
      </c>
      <c r="IS26" s="3">
        <f>100*[6]Monatswerte!IS26/[6]Erwerbspersonen!$G27</f>
        <v>3.9987820849412872</v>
      </c>
      <c r="IT26" s="3">
        <f>100*[6]Monatswerte!IT26/[6]Erwerbspersonen!$G27</f>
        <v>4.1547958773867437</v>
      </c>
      <c r="IU26" s="60">
        <f>100*[7]Monatswerte!IU26/[7]Erwerbspersonen!$G27</f>
        <v>4.2476612300328487</v>
      </c>
      <c r="IV26" s="3">
        <f>100*[7]Monatswerte!IV26/[7]Erwerbspersonen!$G27</f>
        <v>4.2922365993029796</v>
      </c>
      <c r="IW26" s="3">
        <f>100*[7]Monatswerte!IW26/[7]Erwerbspersonen!$G27</f>
        <v>4.3516704249964873</v>
      </c>
      <c r="IX26" s="3">
        <f>100*[7]Monatswerte!IX26/[7]Erwerbspersonen!$G27</f>
        <v>4.3145242839380451</v>
      </c>
      <c r="IY26" s="3">
        <f>100*[7]Monatswerte!IY26/[7]Erwerbspersonen!$G27</f>
        <v>4.2940939063559016</v>
      </c>
      <c r="IZ26" s="3">
        <f>100*[7]Monatswerte!IZ26/[7]Erwerbspersonen!$G27</f>
        <v>4.3479558108906424</v>
      </c>
      <c r="JA26" s="3">
        <f>100*[7]Monatswerte!JA26/[7]Erwerbspersonen!$G27</f>
        <v>4.4575369270130469</v>
      </c>
      <c r="JB26" s="3">
        <f>100*[7]Monatswerte!JB26/[7]Erwerbspersonen!$G27</f>
        <v>4.4928257610185662</v>
      </c>
      <c r="JC26" s="3">
        <f>100*[7]Monatswerte!JC26/[7]Erwerbspersonen!$G27</f>
        <v>4.5151134456536317</v>
      </c>
      <c r="JD26" s="3">
        <f>100*[7]Monatswerte!JD26/[7]Erwerbspersonen!$G27</f>
        <v>4.6692699310461663</v>
      </c>
      <c r="JE26" s="3">
        <f>100*[7]Monatswerte!JE26/[7]Erwerbspersonen!$G27</f>
        <v>4.7974241176977914</v>
      </c>
      <c r="JF26" s="3">
        <f>100*[7]Monatswerte!JF26/[7]Erwerbspersonen!$G27</f>
        <v>4.9348648396140273</v>
      </c>
      <c r="JG26" s="60">
        <f>100*[7]Monatswerte!JG26/[7]Erwerbspersonen!$G27</f>
        <v>5.0035852005721448</v>
      </c>
      <c r="JH26" s="3">
        <f>100*[7]Monatswerte!JH26/[7]Erwerbspersonen!$G27</f>
        <v>4.8568579433912991</v>
      </c>
      <c r="JI26" s="3">
        <f>100*[7]Monatswerte!JI26/[7]Erwerbspersonen!$G27</f>
        <v>4.7937095035919475</v>
      </c>
    </row>
    <row r="27" spans="1:269" s="1" customFormat="1" x14ac:dyDescent="0.2">
      <c r="A27" s="1" t="s">
        <v>31</v>
      </c>
      <c r="B27" s="1">
        <v>20</v>
      </c>
      <c r="C27" s="21">
        <f>100*Monatswerte!C27/Erwerbspersonen!$B28</f>
        <v>7.1654040404040407</v>
      </c>
      <c r="D27" s="21">
        <f>100*Monatswerte!D27/Erwerbspersonen!$B28</f>
        <v>7.1259469696969697</v>
      </c>
      <c r="E27" s="21">
        <f>100*Monatswerte!E27/Erwerbspersonen!$B28</f>
        <v>6.8655303030303028</v>
      </c>
      <c r="F27" s="21">
        <f>100*Monatswerte!F27/Erwerbspersonen!$B28</f>
        <v>6.8734217171717171</v>
      </c>
      <c r="G27" s="21">
        <f>100*Monatswerte!G27/Erwerbspersonen!$B28</f>
        <v>6.6366792929292933</v>
      </c>
      <c r="H27" s="21">
        <f>100*Monatswerte!H27/Erwerbspersonen!$B28</f>
        <v>6.3841540404040407</v>
      </c>
      <c r="I27" s="21">
        <f>100*Monatswerte!I27/Erwerbspersonen!$B28</f>
        <v>6.3683712121212119</v>
      </c>
      <c r="J27" s="21">
        <f>100*Monatswerte!J27/Erwerbspersonen!$B28</f>
        <v>6.810290404040404</v>
      </c>
      <c r="K27" s="21">
        <f>100*Monatswerte!K27/Erwerbspersonen!$B28</f>
        <v>6.7471590909090908</v>
      </c>
      <c r="L27" s="21">
        <f>100*Monatswerte!L27/Erwerbspersonen!$B28</f>
        <v>6.510416666666667</v>
      </c>
      <c r="M27" s="21">
        <f>100*Monatswerte!M27/Erwerbspersonen!$B28</f>
        <v>6.7550505050505052</v>
      </c>
      <c r="N27" s="27">
        <f>100*Monatswerte!N27/Erwerbspersonen!$B28</f>
        <v>6.8181818181818183</v>
      </c>
      <c r="O27" s="21">
        <f>100*Monatswerte!O27/Erwerbspersonen!$B28</f>
        <v>6.7866161616161618</v>
      </c>
      <c r="P27" s="21">
        <f>100*Monatswerte!P27/Erwerbspersonen!$B28</f>
        <v>7.0233585858585856</v>
      </c>
      <c r="Q27" s="21">
        <f>100*Monatswerte!Q27/Erwerbspersonen!$B28</f>
        <v>6.7550505050505052</v>
      </c>
      <c r="R27" s="21">
        <f>100*Monatswerte!R27/Erwerbspersonen!$B28</f>
        <v>6.510416666666667</v>
      </c>
      <c r="S27" s="21">
        <f>100*Monatswerte!S27/Erwerbspersonen!$B28</f>
        <v>6.470959595959596</v>
      </c>
      <c r="T27" s="21">
        <f>100*Monatswerte!T27/Erwerbspersonen!$B28</f>
        <v>6.1789772727272725</v>
      </c>
      <c r="U27" s="21">
        <f>100*Monatswerte!U27/Erwerbspersonen!$B28</f>
        <v>6.2421085858585856</v>
      </c>
      <c r="V27" s="21">
        <f>100*Monatswerte!V27/Erwerbspersonen!$B28</f>
        <v>6.1868686868686869</v>
      </c>
      <c r="W27" s="21">
        <f>100*Monatswerte!W27/Erwerbspersonen!$B28</f>
        <v>5.9659090909090908</v>
      </c>
      <c r="X27" s="21">
        <f>100*Monatswerte!X27/Erwerbspersonen!$B28</f>
        <v>6.1000631313131315</v>
      </c>
      <c r="Y27" s="21">
        <f>100*Monatswerte!Y27/Erwerbspersonen!$B28</f>
        <v>6.0606060606060606</v>
      </c>
      <c r="Z27" s="27">
        <f>100*Monatswerte!Z27/Erwerbspersonen!$B28</f>
        <v>6.171085858585859</v>
      </c>
      <c r="AA27" s="21">
        <f>100*Monatswerte!AA27/Erwerbspersonen!$B28</f>
        <v>6.0842803030303028</v>
      </c>
      <c r="AB27" s="21">
        <f>100*Monatswerte!AB27/Erwerbspersonen!$B28</f>
        <v>6.0606060606060606</v>
      </c>
      <c r="AC27" s="21">
        <f>100*Monatswerte!AC27/Erwerbspersonen!$B28</f>
        <v>5.950126262626263</v>
      </c>
      <c r="AD27" s="21">
        <f>100*Monatswerte!AD27/Erwerbspersonen!$B28</f>
        <v>5.6660353535353538</v>
      </c>
      <c r="AE27" s="21">
        <f>100*Monatswerte!AE27/Erwerbspersonen!$B28</f>
        <v>5.4371843434343434</v>
      </c>
      <c r="AF27" s="21">
        <f>100*Monatswerte!AF27/Erwerbspersonen!$B28</f>
        <v>5.3424873737373737</v>
      </c>
      <c r="AG27" s="21">
        <f>100*Monatswerte!AG27/Erwerbspersonen!$B28</f>
        <v>5.208333333333333</v>
      </c>
      <c r="AH27" s="21">
        <f>100*Monatswerte!AH27/Erwerbspersonen!$B28</f>
        <v>5.1846590909090908</v>
      </c>
      <c r="AI27" s="21">
        <f>100*Monatswerte!AI27/Erwerbspersonen!$B28</f>
        <v>5.168876262626263</v>
      </c>
      <c r="AJ27" s="21">
        <f>100*Monatswerte!AJ27/Erwerbspersonen!$B28</f>
        <v>5.1846590909090908</v>
      </c>
      <c r="AK27" s="21">
        <f>100*Monatswerte!AK27/Erwerbspersonen!$B28</f>
        <v>5.1452020202020199</v>
      </c>
      <c r="AL27" s="27">
        <f>100*Monatswerte!AL27/Erwerbspersonen!$B28</f>
        <v>5.1767676767676765</v>
      </c>
      <c r="AM27" s="21">
        <f>100*Monatswerte!AM27/Erwerbspersonen!$B28</f>
        <v>5.2320075757575761</v>
      </c>
      <c r="AN27" s="21">
        <f>100*Monatswerte!AN27/Erwerbspersonen!$B28</f>
        <v>5.0662878787878789</v>
      </c>
      <c r="AO27" s="21">
        <f>100*Monatswerte!AO27/Erwerbspersonen!$B28</f>
        <v>4.8611111111111107</v>
      </c>
      <c r="AP27" s="21">
        <f>100*Monatswerte!AP27/Erwerbspersonen!$B28</f>
        <v>4.6953914141414144</v>
      </c>
      <c r="AQ27" s="21">
        <f>100*Monatswerte!AQ27/Erwerbspersonen!$B28</f>
        <v>4.4823232323232327</v>
      </c>
      <c r="AR27" s="21">
        <f>100*Monatswerte!AR27/Erwerbspersonen!$B28</f>
        <v>4.3718434343434343</v>
      </c>
      <c r="AS27" s="21">
        <f>100*Monatswerte!AS27/Erwerbspersonen!$B28</f>
        <v>4.3008207070707067</v>
      </c>
      <c r="AT27" s="21">
        <f>100*Monatswerte!AT27/Erwerbspersonen!$B28</f>
        <v>4.4902146464646462</v>
      </c>
      <c r="AU27" s="21">
        <f>100*Monatswerte!AU27/Erwerbspersonen!$B28</f>
        <v>4.0956439393939394</v>
      </c>
      <c r="AV27" s="21">
        <f>100*Monatswerte!AV27/Erwerbspersonen!$B28</f>
        <v>4.0482954545454541</v>
      </c>
      <c r="AW27" s="21">
        <f>100*Monatswerte!AW27/Erwerbspersonen!$B28</f>
        <v>3.8904671717171717</v>
      </c>
      <c r="AX27" s="27">
        <f>100*Monatswerte!AX27/Erwerbspersonen!$B28</f>
        <v>3.9772727272727271</v>
      </c>
      <c r="AY27" s="21">
        <f>100*Monatswerte!AY27/Erwerbspersonen!$C28</f>
        <v>4.2724060391904919</v>
      </c>
      <c r="AZ27" s="21">
        <f>100*Monatswerte!AZ27/Erwerbspersonen!$C28</f>
        <v>4.1117892707998713</v>
      </c>
      <c r="BA27" s="21">
        <f>100*Monatswerte!BA27/Erwerbspersonen!$C28</f>
        <v>4.0073883713459688</v>
      </c>
      <c r="BB27" s="21">
        <f>100*Monatswerte!BB27/Erwerbspersonen!$C28</f>
        <v>4.1198201092194022</v>
      </c>
      <c r="BC27" s="21">
        <f>100*Monatswerte!BC27/Erwerbspersonen!$C28</f>
        <v>4.1117892707998713</v>
      </c>
      <c r="BD27" s="21">
        <f>100*Monatswerte!BD27/Erwerbspersonen!$C28</f>
        <v>4.0555734018631542</v>
      </c>
      <c r="BE27" s="21">
        <f>100*Monatswerte!BE27/Erwerbspersonen!$C28</f>
        <v>4.1117892707998713</v>
      </c>
      <c r="BF27" s="21">
        <f>100*Monatswerte!BF27/Erwerbspersonen!$C28</f>
        <v>4.2081593318342438</v>
      </c>
      <c r="BG27" s="21">
        <f>100*Monatswerte!BG27/Erwerbspersonen!$C28</f>
        <v>4.3045293928686155</v>
      </c>
      <c r="BH27" s="21">
        <f>100*Monatswerte!BH27/Erwerbspersonen!$C28</f>
        <v>4.3527144233858017</v>
      </c>
      <c r="BI27" s="21">
        <f>100*Monatswerte!BI27/Erwerbspersonen!$C28</f>
        <v>4.5293928686154832</v>
      </c>
      <c r="BJ27" s="27">
        <f>100*Monatswerte!BJ27/Erwerbspersonen!$C28</f>
        <v>5.1236749116607774</v>
      </c>
      <c r="BK27" s="21">
        <f>100*Monatswerte!BK27/Erwerbspersonen!$C28</f>
        <v>5.3886925795053005</v>
      </c>
      <c r="BL27" s="21">
        <f>100*Monatswerte!BL27/Erwerbspersonen!$C28</f>
        <v>5.7741728236427887</v>
      </c>
      <c r="BM27" s="21">
        <f>100*Monatswerte!BM27/Erwerbspersonen!$C28</f>
        <v>6.1516222293607452</v>
      </c>
      <c r="BN27" s="21">
        <f>100*Monatswerte!BN27/Erwerbspersonen!$C28</f>
        <v>6.3443623514294893</v>
      </c>
      <c r="BO27" s="21">
        <f>100*Monatswerte!BO27/Erwerbspersonen!$C28</f>
        <v>6.8262126566013492</v>
      </c>
      <c r="BP27" s="21">
        <f>100*Monatswerte!BP27/Erwerbspersonen!$C28</f>
        <v>7.251847092836492</v>
      </c>
      <c r="BQ27" s="21">
        <f>100*Monatswerte!BQ27/Erwerbspersonen!$C28</f>
        <v>7.3241246386122709</v>
      </c>
      <c r="BR27" s="21">
        <f>100*Monatswerte!BR27/Erwerbspersonen!$C28</f>
        <v>7.5570189527786704</v>
      </c>
      <c r="BS27" s="21">
        <f>100*Monatswerte!BS27/Erwerbspersonen!$C28</f>
        <v>7.8782524895599098</v>
      </c>
      <c r="BT27" s="21">
        <f>100*Monatswerte!BT27/Erwerbspersonen!$C28</f>
        <v>7.725666559588821</v>
      </c>
      <c r="BU27" s="21">
        <f>100*Monatswerte!BU27/Erwerbspersonen!$C28</f>
        <v>7.8782524895599098</v>
      </c>
      <c r="BV27" s="27">
        <f>100*Monatswerte!BV27/Erwerbspersonen!$C28</f>
        <v>8.19948602634115</v>
      </c>
      <c r="BW27" s="21">
        <f>100*Monatswerte!BW27/Erwerbspersonen!$C28</f>
        <v>8.0950851268872466</v>
      </c>
      <c r="BX27" s="21">
        <f>100*Monatswerte!BX27/Erwerbspersonen!$C28</f>
        <v>7.9505300353356887</v>
      </c>
      <c r="BY27" s="21">
        <f>100*Monatswerte!BY27/Erwerbspersonen!$C28</f>
        <v>8.0067459042724067</v>
      </c>
      <c r="BZ27" s="21">
        <f>100*Monatswerte!BZ27/Erwerbspersonen!$C28</f>
        <v>7.5168647606810151</v>
      </c>
      <c r="CA27" s="21">
        <f>100*Monatswerte!CA27/Erwerbspersonen!$C28</f>
        <v>7.2197237391583684</v>
      </c>
      <c r="CB27" s="21">
        <f>100*Monatswerte!CB27/Erwerbspersonen!$C28</f>
        <v>6.9065210407966591</v>
      </c>
      <c r="CC27" s="21">
        <f>100*Monatswerte!CC27/Erwerbspersonen!$C28</f>
        <v>6.641503372952136</v>
      </c>
      <c r="CD27" s="21">
        <f>100*Monatswerte!CD27/Erwerbspersonen!$C28</f>
        <v>6.6013491808544815</v>
      </c>
      <c r="CE27" s="21">
        <f>100*Monatswerte!CE27/Erwerbspersonen!$C28</f>
        <v>6.2881464824927722</v>
      </c>
      <c r="CF27" s="21">
        <f>100*Monatswerte!CF27/Erwerbspersonen!$C28</f>
        <v>6.1998072598779315</v>
      </c>
      <c r="CG27" s="21">
        <f>100*Monatswerte!CG27/Erwerbspersonen!$C28</f>
        <v>6.2720848056537104</v>
      </c>
      <c r="CH27" s="27">
        <f>100*Monatswerte!CH27/Erwerbspersonen!$C28</f>
        <v>6.3925473819466756</v>
      </c>
      <c r="CI27" s="21">
        <f>100*Monatswerte!CI27/Erwerbspersonen!$C28</f>
        <v>6.3363315130099584</v>
      </c>
      <c r="CJ27" s="21">
        <f>100*Monatswerte!CJ27/Erwerbspersonen!$C28</f>
        <v>6.0150979762287182</v>
      </c>
      <c r="CK27" s="21">
        <f>100*Monatswerte!CK27/Erwerbspersonen!$C28</f>
        <v>5.6778027626084162</v>
      </c>
      <c r="CL27" s="21">
        <f>100*Monatswerte!CL27/Erwerbspersonen!$C28</f>
        <v>5.1879216190170254</v>
      </c>
      <c r="CM27" s="21">
        <f>100*Monatswerte!CM27/Erwerbspersonen!$C28</f>
        <v>4.74622550594282</v>
      </c>
      <c r="CN27" s="21">
        <f>100*Monatswerte!CN27/Erwerbspersonen!$C28</f>
        <v>4.6578862833279793</v>
      </c>
      <c r="CO27" s="21">
        <f>100*Monatswerte!CO27/Erwerbspersonen!$C28</f>
        <v>4.2643752007709601</v>
      </c>
      <c r="CP27" s="21">
        <f>100*Monatswerte!CP27/Erwerbspersonen!$C28</f>
        <v>4.2081593318342438</v>
      </c>
      <c r="CQ27" s="21">
        <f>100*Monatswerte!CQ27/Erwerbspersonen!$C28</f>
        <v>4.3768069386443944</v>
      </c>
      <c r="CR27" s="21">
        <f>100*Monatswerte!CR27/Erwerbspersonen!$C28</f>
        <v>4.336652746546739</v>
      </c>
      <c r="CS27" s="21">
        <f>100*Monatswerte!CS27/Erwerbspersonen!$C28</f>
        <v>4.7783488596209445</v>
      </c>
      <c r="CT27" s="27">
        <f>100*Monatswerte!CT27/Erwerbspersonen!$C28</f>
        <v>4.8345647285576616</v>
      </c>
      <c r="CU27" s="21">
        <f>100*Monatswerte!CU27/Erwerbspersonen!$C28</f>
        <v>4.8506264053967234</v>
      </c>
      <c r="CV27" s="21">
        <f>100*Monatswerte!CV27/Erwerbspersonen!$C28</f>
        <v>5.0273048506264058</v>
      </c>
      <c r="CW27" s="21">
        <f>100*Monatswerte!CW27/Erwerbspersonen!$C28</f>
        <v>4.8907805974943788</v>
      </c>
      <c r="CX27" s="21">
        <f>100*Monatswerte!CX27/Erwerbspersonen!$C28</f>
        <v>4.8988114359139097</v>
      </c>
      <c r="CY27" s="21">
        <f>100*Monatswerte!CY27/Erwerbspersonen!$C28</f>
        <v>4.6016704143912621</v>
      </c>
      <c r="CZ27" s="21">
        <f>100*Monatswerte!CZ27/Erwerbspersonen!$C28</f>
        <v>4.4651461612592351</v>
      </c>
      <c r="DA27" s="21">
        <f>100*Monatswerte!DA27/Erwerbspersonen!$C28</f>
        <v>4.4169611307420498</v>
      </c>
      <c r="DB27" s="21">
        <f>100*Monatswerte!DB27/Erwerbspersonen!$C28</f>
        <v>4.6659171217475102</v>
      </c>
      <c r="DC27" s="21">
        <f>100*Monatswerte!DC27/Erwerbspersonen!$C28</f>
        <v>4.7703180212014136</v>
      </c>
      <c r="DD27" s="21">
        <f>100*Monatswerte!DD27/Erwerbspersonen!$C28</f>
        <v>4.8506264053967234</v>
      </c>
      <c r="DE27" s="21">
        <f>100*Monatswerte!DE27/Erwerbspersonen!$C28</f>
        <v>5.1236749116607774</v>
      </c>
      <c r="DF27" s="27">
        <f>100*Monatswerte!DF27/Erwerbspersonen!$C28</f>
        <v>5.3806617410857696</v>
      </c>
      <c r="DG27" s="21">
        <f>100*Monatswerte!DG27/Erwerbspersonen!$C28</f>
        <v>5.7099261162865407</v>
      </c>
      <c r="DH27" s="21">
        <f>100*Monatswerte!DH27/Erwerbspersonen!$C28</f>
        <v>5.6617410857693544</v>
      </c>
      <c r="DI27" s="21">
        <f>100*Monatswerte!DI27/Erwerbspersonen!$C28</f>
        <v>5.420815933183424</v>
      </c>
      <c r="DJ27" s="21">
        <f>100*Monatswerte!DJ27/Erwerbspersonen!$C28</f>
        <v>5.3083841953099906</v>
      </c>
      <c r="DK27" s="21">
        <f>100*Monatswerte!DK27/Erwerbspersonen!$C28</f>
        <v>5.1879216190170254</v>
      </c>
      <c r="DL27" s="21">
        <f>100*Monatswerte!DL27/Erwerbspersonen!$C28</f>
        <v>5.0433665274654675</v>
      </c>
      <c r="DM27" s="21">
        <f>100*Monatswerte!DM27/Erwerbspersonen!$C28</f>
        <v>5.1156440732412465</v>
      </c>
      <c r="DN27" s="21">
        <f>100*Monatswerte!DN27/Erwerbspersonen!$C28</f>
        <v>5.3967234179248313</v>
      </c>
      <c r="DO27" s="21">
        <f>100*Monatswerte!DO27/Erwerbspersonen!$C28</f>
        <v>5.4690009637006103</v>
      </c>
      <c r="DP27" s="21">
        <f>100*Monatswerte!DP27/Erwerbspersonen!$C28</f>
        <v>5.9267587536138775</v>
      </c>
      <c r="DQ27" s="21">
        <f>100*Monatswerte!DQ27/Erwerbspersonen!$C28</f>
        <v>6.0632830067459045</v>
      </c>
      <c r="DR27" s="27">
        <f>100*Monatswerte!DR27/Erwerbspersonen!$C28</f>
        <v>6.1757147446193379</v>
      </c>
      <c r="DS27" s="21">
        <f>100*Monatswerte!DS27/Erwerbspersonen!$D28</f>
        <v>5.621956617972554</v>
      </c>
      <c r="DT27" s="21">
        <f>100*Monatswerte!DT27/Erwerbspersonen!$D28</f>
        <v>5.5186660764350011</v>
      </c>
      <c r="DU27" s="21">
        <f>100*Monatswerte!DU27/Erwerbspersonen!$D28</f>
        <v>5.430131326545669</v>
      </c>
      <c r="DV27" s="21">
        <f>100*Monatswerte!DV27/Erwerbspersonen!$D28</f>
        <v>5.4227534307215581</v>
      </c>
      <c r="DW27" s="21">
        <f>100*Monatswerte!DW27/Erwerbspersonen!$D28</f>
        <v>5.3784860557768921</v>
      </c>
      <c r="DX27" s="21">
        <f>100*Monatswerte!DX27/Erwerbspersonen!$D28</f>
        <v>5.0833702228124542</v>
      </c>
      <c r="DY27" s="21">
        <f>100*Monatswerte!DY27/Erwerbspersonen!$D28</f>
        <v>4.9063007230337909</v>
      </c>
      <c r="DZ27" s="21">
        <f>100*Monatswerte!DZ27/Erwerbspersonen!$D28</f>
        <v>4.6849638483104616</v>
      </c>
      <c r="EA27" s="21">
        <f>100*Monatswerte!EA27/Erwerbspersonen!$D28</f>
        <v>4.574295410948797</v>
      </c>
      <c r="EB27" s="21">
        <f>100*Monatswerte!EB27/Erwerbspersonen!$D28</f>
        <v>4.3160690571049134</v>
      </c>
      <c r="EC27" s="21">
        <f>100*Monatswerte!EC27/Erwerbspersonen!$D28</f>
        <v>4.5816733067729087</v>
      </c>
      <c r="ED27" s="21">
        <f>100*Monatswerte!ED27/Erwerbspersonen!$D28</f>
        <v>5.0243470562195665</v>
      </c>
      <c r="EE27" s="25">
        <f>100*Monatswerte!EE27/Erwerbspersonen!$D28</f>
        <v>4.9358123063302344</v>
      </c>
      <c r="EF27" s="21">
        <f>100*Monatswerte!EF27/Erwerbspersonen!$D28</f>
        <v>4.9948354729231221</v>
      </c>
      <c r="EG27" s="21">
        <f>100*Monatswerte!EG27/Erwerbspersonen!$D28</f>
        <v>5.1055039102847868</v>
      </c>
      <c r="EH27" s="21">
        <f>100*Monatswerte!EH27/Erwerbspersonen!$D28</f>
        <v>5.1350154935812302</v>
      </c>
      <c r="EI27" s="21">
        <f>100*Monatswerte!EI27/Erwerbspersonen!$D28</f>
        <v>4.7956322856721263</v>
      </c>
      <c r="EJ27" s="21">
        <f>100*Monatswerte!EJ27/Erwerbspersonen!$D28</f>
        <v>4.8030101814962372</v>
      </c>
      <c r="EK27" s="21">
        <f>100*Monatswerte!EK27/Erwerbspersonen!$D28</f>
        <v>4.8398996606167923</v>
      </c>
      <c r="EL27" s="21">
        <f>100*Monatswerte!EL27/Erwerbspersonen!$D28</f>
        <v>4.9358123063302344</v>
      </c>
      <c r="EM27" s="21">
        <f>100*Monatswerte!EM27/Erwerbspersonen!$D28</f>
        <v>5.046480743691899</v>
      </c>
      <c r="EN27" s="21">
        <f>100*Monatswerte!EN27/Erwerbspersonen!$D28</f>
        <v>5.2678176184152283</v>
      </c>
      <c r="EO27" s="21">
        <f>100*Monatswerte!EO27/Erwerbspersonen!$D28</f>
        <v>5.7990261177512172</v>
      </c>
      <c r="EP27" s="21">
        <f>100*Monatswerte!EP27/Erwerbspersonen!$D28</f>
        <v>6.0203629924745465</v>
      </c>
      <c r="EQ27" s="25">
        <f>100*Monatswerte!EQ27/Erwerbspersonen!$D28</f>
        <v>6.0646303674192117</v>
      </c>
      <c r="ER27" s="21">
        <f>100*Monatswerte!ER27/Erwerbspersonen!$D28</f>
        <v>6.0793861590674343</v>
      </c>
      <c r="ES27" s="21">
        <f>100*Monatswerte!ES27/Erwerbspersonen!$D28</f>
        <v>6.0351187841227683</v>
      </c>
      <c r="ET27" s="21">
        <f>100*Monatswerte!ET27/Erwerbspersonen!$D28</f>
        <v>6.0056072008263239</v>
      </c>
      <c r="EU27" s="21">
        <f>100*Monatswerte!EU27/Erwerbspersonen!$D28</f>
        <v>5.9392061384093253</v>
      </c>
      <c r="EV27" s="21">
        <f>100*Monatswerte!EV27/Erwerbspersonen!$D28</f>
        <v>5.8654271801682158</v>
      </c>
      <c r="EW27" s="21">
        <f>100*Monatswerte!EW27/Erwerbspersonen!$D28</f>
        <v>5.7178692636859969</v>
      </c>
      <c r="EX27" s="21">
        <f>100*Monatswerte!EX27/Erwerbspersonen!$D28</f>
        <v>5.7252471595101078</v>
      </c>
      <c r="EY27" s="21">
        <f>100*Monatswerte!EY27/Erwerbspersonen!$D28</f>
        <v>5.8875608676405493</v>
      </c>
      <c r="EZ27" s="21">
        <f>100*Monatswerte!EZ27/Erwerbspersonen!$D28</f>
        <v>5.9318282425852145</v>
      </c>
      <c r="FA27" s="21">
        <f>100*Monatswerte!FA27/Erwerbspersonen!$D28</f>
        <v>6.1752988047808763</v>
      </c>
      <c r="FB27" s="27">
        <f>100*Monatswerte!FB27/Erwerbspersonen!$D28</f>
        <v>6.3892577836800948</v>
      </c>
      <c r="FC27" s="21">
        <f>100*Monatswerte!FC27/Erwerbspersonen!$E28</f>
        <v>6.3538540370397483</v>
      </c>
      <c r="FD27" s="21">
        <f>100*Monatswerte!FD27/Erwerbspersonen!$E28</f>
        <v>6.2147719786252837</v>
      </c>
      <c r="FE27" s="21">
        <f>100*Monatswerte!FE27/Erwerbspersonen!$E28</f>
        <v>6.1928116536124733</v>
      </c>
      <c r="FF27" s="21">
        <f>100*Monatswerte!FF27/Erwerbspersonen!$E28</f>
        <v>5.9732084034843718</v>
      </c>
      <c r="FG27" s="21">
        <f>100*Monatswerte!FG27/Erwerbspersonen!$E28</f>
        <v>5.9000073201083376</v>
      </c>
      <c r="FH27" s="21">
        <f>100*Monatswerte!FH27/Erwerbspersonen!$E28</f>
        <v>5.7389649366810627</v>
      </c>
      <c r="FI27" s="21">
        <f>100*Monatswerte!FI27/Erwerbspersonen!$E28</f>
        <v>5.8926872117707338</v>
      </c>
      <c r="FJ27" s="21">
        <f>100*Monatswerte!FJ27/Erwerbspersonen!$E28</f>
        <v>5.9073274284459414</v>
      </c>
      <c r="FK27" s="21">
        <f>100*Monatswerte!FK27/Erwerbspersonen!$E28</f>
        <v>5.8926872117707338</v>
      </c>
      <c r="FL27" s="21">
        <f>100*Monatswerte!FL27/Erwerbspersonen!$E28</f>
        <v>5.6364834199546152</v>
      </c>
      <c r="FM27" s="21">
        <f>100*Monatswerte!FM27/Erwerbspersonen!$E28</f>
        <v>5.6218432032794086</v>
      </c>
      <c r="FN27" s="21">
        <f>100*Monatswerte!FN27/Erwerbspersonen!$E28</f>
        <v>5.6877241783178389</v>
      </c>
      <c r="FO27" s="25">
        <f>100*Monatswerte!FO27/Erwerbspersonen!$E28</f>
        <v>5.6877241783178389</v>
      </c>
      <c r="FP27" s="21">
        <f>100*Monatswerte!FP27/Erwerbspersonen!$E28</f>
        <v>5.6877241783178389</v>
      </c>
      <c r="FQ27" s="21">
        <f>100*Monatswerte!FQ27/Erwerbspersonen!$E28</f>
        <v>5.5413220115657715</v>
      </c>
      <c r="FR27" s="21">
        <f>100*Monatswerte!FR27/Erwerbspersonen!$E28</f>
        <v>5.1679964863479979</v>
      </c>
      <c r="FS27" s="21">
        <f>100*Monatswerte!FS27/Erwerbspersonen!$E28</f>
        <v>4.8971524778566726</v>
      </c>
      <c r="FT27" s="21">
        <f>100*Monatswerte!FT27/Erwerbspersonen!$E28</f>
        <v>4.765390527779811</v>
      </c>
      <c r="FU27" s="21">
        <f>100*Monatswerte!FU27/Erwerbspersonen!$E28</f>
        <v>4.8459117194934489</v>
      </c>
      <c r="FV27" s="21">
        <f>100*Monatswerte!FV27/Erwerbspersonen!$E28</f>
        <v>4.7434302027670006</v>
      </c>
      <c r="FW27" s="21">
        <f>100*Monatswerte!FW27/Erwerbspersonen!$E28</f>
        <v>4.6702291193909673</v>
      </c>
      <c r="FX27" s="21">
        <f>100*Monatswerte!FX27/Erwerbspersonen!$E28</f>
        <v>4.7580704194422081</v>
      </c>
      <c r="FY27" s="21">
        <f>100*Monatswerte!FY27/Erwerbspersonen!$E28</f>
        <v>5.1021155113095675</v>
      </c>
      <c r="FZ27" s="21">
        <f>100*Monatswerte!FZ27/Erwerbspersonen!$E28</f>
        <v>5.204597028036015</v>
      </c>
      <c r="GA27" s="25">
        <f>100*Monatswerte!GA27/Erwerbspersonen!$E28</f>
        <v>5.2631578947368425</v>
      </c>
      <c r="GB27" s="21">
        <f>100*Monatswerte!GB27/Erwerbspersonen!$E28</f>
        <v>5.0655149696215505</v>
      </c>
      <c r="GC27" s="21">
        <f>100*Monatswerte!GC27/Erwerbspersonen!$E28</f>
        <v>4.9557133445574992</v>
      </c>
      <c r="GD27" s="21">
        <f>100*Monatswerte!GD27/Erwerbspersonen!$E28</f>
        <v>4.8971524778566726</v>
      </c>
      <c r="GE27" s="21">
        <f>100*Monatswerte!GE27/Erwerbspersonen!$E28</f>
        <v>4.8093111778054318</v>
      </c>
      <c r="GF27" s="21">
        <f>100*Monatswerte!GF27/Erwerbspersonen!$E28</f>
        <v>4.6189883610277436</v>
      </c>
      <c r="GG27" s="21">
        <f>100*Monatswerte!GG27/Erwerbspersonen!$E28</f>
        <v>4.6629090110533635</v>
      </c>
      <c r="GH27" s="21">
        <f>100*Monatswerte!GH27/Erwerbspersonen!$E28</f>
        <v>4.6921894444037768</v>
      </c>
      <c r="GI27" s="21">
        <f>100*Monatswerte!GI27/Erwerbspersonen!$E28</f>
        <v>4.8019910694678281</v>
      </c>
      <c r="GJ27" s="21">
        <f>100*Monatswerte!GJ27/Erwerbspersonen!$E28</f>
        <v>4.9557133445574992</v>
      </c>
      <c r="GK27" s="21">
        <f>100*Monatswerte!GK27/Erwerbspersonen!$E28</f>
        <v>5.204597028036015</v>
      </c>
      <c r="GL27" s="21">
        <f>100*Monatswerte!GL27/Erwerbspersonen!$E28</f>
        <v>5.5047214698777545</v>
      </c>
      <c r="GM27" s="25">
        <f>100*Monatswerte!GM27/Erwerbspersonen!$F28</f>
        <v>5.7859056472989039</v>
      </c>
      <c r="GN27" s="21">
        <f>100*Monatswerte!GN27/Erwerbspersonen!$F28</f>
        <v>5.548966314318367</v>
      </c>
      <c r="GO27" s="21">
        <f>100*Monatswerte!GO27/Erwerbspersonen!$F28</f>
        <v>5.999915367410356</v>
      </c>
      <c r="GP27" s="21">
        <f>100*Monatswerte!GP27/Erwerbspersonen!$F28</f>
        <v>6.3209299475775342</v>
      </c>
      <c r="GQ27" s="21">
        <f>100*Monatswerte!GQ27/Erwerbspersonen!$F28</f>
        <v>6.5272964633992911</v>
      </c>
      <c r="GR27" s="21">
        <f>100*Monatswerte!GR27/Erwerbspersonen!$F28</f>
        <v>6.7565925920901329</v>
      </c>
      <c r="GS27" s="21">
        <f>100*Monatswerte!GS27/Erwerbspersonen!$F28</f>
        <v>6.9247430864634172</v>
      </c>
      <c r="GT27" s="21">
        <f>100*Monatswerte!GT27/Erwerbspersonen!$F28</f>
        <v>7.1158231937057845</v>
      </c>
      <c r="GU27" s="21">
        <f>100*Monatswerte!GU27/Erwerbspersonen!$F28</f>
        <v>7.2916168923687632</v>
      </c>
      <c r="GV27" s="21">
        <f>100*Monatswerte!GV27/Erwerbspersonen!$F28</f>
        <v>7.7043499240122788</v>
      </c>
      <c r="GW27" s="21">
        <f>100*Monatswerte!GW27/Erwerbspersonen!$F28</f>
        <v>8.0635805256279305</v>
      </c>
      <c r="GX27" s="27">
        <f>100*Monatswerte!GX27/Erwerbspersonen!$F28</f>
        <v>8.6368208473550343</v>
      </c>
      <c r="GY27" s="21">
        <f>100*Monatswerte!GY27/Erwerbspersonen!$F28</f>
        <v>8.5374591915890026</v>
      </c>
      <c r="GZ27" s="21">
        <f>100*Monatswerte!GZ27/Erwerbspersonen!$F28</f>
        <v>8.4763135572714443</v>
      </c>
      <c r="HA27" s="21">
        <f>100*Monatswerte!HA27/Erwerbspersonen!$F28</f>
        <v>8.3463790843466352</v>
      </c>
      <c r="HB27" s="21">
        <f>100*Monatswerte!HB27/Erwerbspersonen!$F28</f>
        <v>8.1170829556557926</v>
      </c>
      <c r="HC27" s="21">
        <f>100*Monatswerte!HC27/Erwerbspersonen!$F28</f>
        <v>7.9795052784412883</v>
      </c>
      <c r="HD27" s="21">
        <f>100*Monatswerte!HD27/Erwerbspersonen!$F28</f>
        <v>7.7807819669092257</v>
      </c>
      <c r="HE27" s="21">
        <f>100*Monatswerte!HE27/Erwerbspersonen!$F28</f>
        <v>7.6508474939844149</v>
      </c>
      <c r="HF27" s="21">
        <f>100*Monatswerte!HF27/Erwerbspersonen!$F28</f>
        <v>7.444480978162658</v>
      </c>
      <c r="HG27" s="21">
        <f>100*Monatswerte!HG27/Erwerbspersonen!$F28</f>
        <v>7.0546775593882272</v>
      </c>
      <c r="HH27" s="21">
        <f>100*Monatswerte!HH27/Erwerbspersonen!$F28</f>
        <v>6.8712406564355542</v>
      </c>
      <c r="HI27" s="21">
        <f>100*Monatswerte!HI27/Erwerbspersonen!$F28</f>
        <v>6.9935319250706698</v>
      </c>
      <c r="HJ27" s="21">
        <f>100*Monatswerte!HJ27/Erwerbspersonen!$F28</f>
        <v>6.9094566778840276</v>
      </c>
      <c r="HK27" s="60">
        <f>100*Monatswerte!HK27/Erwerbspersonen!$F28</f>
        <v>6.4814372376611233</v>
      </c>
      <c r="HL27" s="3">
        <f>100*Monatswerte!HL27/Erwerbspersonen!$F28</f>
        <v>6.2903571304187551</v>
      </c>
      <c r="HM27" s="3">
        <f>100*Monatswerte!HM27/Erwerbspersonen!$F28</f>
        <v>6.0992770231763869</v>
      </c>
      <c r="HN27" s="3">
        <f>100*Monatswerte!HN27/Erwerbspersonen!$F28</f>
        <v>5.7782624430092087</v>
      </c>
      <c r="HO27" s="3">
        <f>100*Monatswerte!HO27/Erwerbspersonen!$F28</f>
        <v>5.5795391314771461</v>
      </c>
      <c r="HP27" s="3">
        <f>100*Monatswerte!HP27/Erwerbspersonen!$F28</f>
        <v>5.2967405727584413</v>
      </c>
      <c r="HQ27" s="3">
        <f>100*Monatswerte!HQ27/Erwerbspersonen!$F28</f>
        <v>5.1209468740954627</v>
      </c>
      <c r="HR27" s="3">
        <f>100*Monatswerte!HR27/Erwerbspersonen!$F28</f>
        <v>5.1056604655160731</v>
      </c>
      <c r="HS27" s="3">
        <f>100*Monatswerte!HS27/Erwerbspersonen!$F28</f>
        <v>5.1056604655160731</v>
      </c>
      <c r="HT27" s="3">
        <f>100*Monatswerte!HT27/Erwerbspersonen!$F28</f>
        <v>4.9069371539840105</v>
      </c>
      <c r="HU27" s="3">
        <f>100*Monatswerte!HU27/Erwerbspersonen!$F28</f>
        <v>5.0215852183294318</v>
      </c>
      <c r="HV27" s="64">
        <f>100*Monatswerte!HV27/Erwerbspersonen!$F28</f>
        <v>5.3043837770481357</v>
      </c>
      <c r="HW27" s="3">
        <f>100*[5]Monatswerte!HW27/[5]Erwerbspersonen!$F28</f>
        <v>5.3043837770481357</v>
      </c>
      <c r="HX27" s="3">
        <f>100*[5]Monatswerte!HX27/[5]Erwerbspersonen!$F28</f>
        <v>5.1362332826748522</v>
      </c>
      <c r="HY27" s="3">
        <f>100*[5]Monatswerte!HY27/[5]Erwerbspersonen!$F28</f>
        <v>4.8992939496943162</v>
      </c>
      <c r="HZ27" s="3">
        <f>100*[5]Monatswerte!HZ27/[5]Erwerbspersonen!$F28</f>
        <v>4.5706361652374428</v>
      </c>
      <c r="IA27" s="3">
        <f>100*[5]Monatswerte!IA27/[5]Erwerbspersonen!$F28</f>
        <v>4.3260536279672115</v>
      </c>
      <c r="IB27" s="3">
        <f>100*[5]Monatswerte!IB27/[5]Erwerbspersonen!$F28</f>
        <v>4.2725511979393485</v>
      </c>
      <c r="IC27" s="3">
        <f>100*[5]Monatswerte!IC27/[5]Erwerbspersonen!$F28</f>
        <v>4.3489832408362963</v>
      </c>
      <c r="ID27" s="3">
        <f>100*[5]Monatswerte!ID27/[5]Erwerbspersonen!$F28</f>
        <v>4.4254152837332432</v>
      </c>
      <c r="IE27" s="3">
        <f>100*[5]Monatswerte!IE27/[5]Erwerbspersonen!$F28</f>
        <v>4.4789177137611063</v>
      </c>
      <c r="IF27" s="3">
        <f>100*[5]Monatswerte!IF27/[5]Erwerbspersonen!$F28</f>
        <v>4.6929274338725584</v>
      </c>
      <c r="IG27" s="3">
        <f>100*[5]Monatswerte!IG27/[5]Erwerbspersonen!$F28</f>
        <v>5.0674444440675996</v>
      </c>
      <c r="IH27" s="3">
        <f>100*[5]Monatswerte!IH27/[5]Erwerbspersonen!$F28</f>
        <v>5.3273133899172205</v>
      </c>
      <c r="II27" s="60">
        <f>100*[6]Monatswerte!II27/[6]Erwerbspersonen!$G28</f>
        <v>5.1762755693772959</v>
      </c>
      <c r="IJ27" s="3">
        <f>100*[6]Monatswerte!IJ27/[6]Erwerbspersonen!$G28</f>
        <v>5.248368543881158</v>
      </c>
      <c r="IK27" s="3">
        <f>100*[6]Monatswerte!IK27/[6]Erwerbspersonen!$G28</f>
        <v>5.2627871387819303</v>
      </c>
      <c r="IL27" s="3">
        <f>100*[6]Monatswerte!IL27/[6]Erwerbspersonen!$G28</f>
        <v>5.2844150311330891</v>
      </c>
      <c r="IM27" s="3">
        <f>100*[6]Monatswerte!IM27/[6]Erwerbspersonen!$G28</f>
        <v>5.3204615183850201</v>
      </c>
      <c r="IN27" s="3">
        <f>100*[6]Monatswerte!IN27/[6]Erwerbspersonen!$G28</f>
        <v>5.3565080056369512</v>
      </c>
      <c r="IO27" s="3">
        <f>100*[6]Monatswerte!IO27/[6]Erwerbspersonen!$G28</f>
        <v>5.3637173030873377</v>
      </c>
      <c r="IP27" s="3">
        <f>100*[6]Monatswerte!IP27/[6]Erwerbspersonen!$G28</f>
        <v>5.3637173030873377</v>
      </c>
      <c r="IQ27" s="3">
        <f>100*[6]Monatswerte!IQ27/[6]Erwerbspersonen!$G28</f>
        <v>5.4646474673927443</v>
      </c>
      <c r="IR27" s="3">
        <f>100*[6]Monatswerte!IR27/[6]Erwerbspersonen!$G28</f>
        <v>5.5583683342477652</v>
      </c>
      <c r="IS27" s="3">
        <f>100*[6]Monatswerte!IS27/[6]Erwerbspersonen!$G28</f>
        <v>5.9909261812709378</v>
      </c>
      <c r="IT27" s="3">
        <f>100*[6]Monatswerte!IT27/[6]Erwerbspersonen!$G28</f>
        <v>6.3658096486910205</v>
      </c>
      <c r="IU27" s="60">
        <f>100*[7]Monatswerte!IU27/[7]Erwerbspersonen!$G28</f>
        <v>6.7839489008134199</v>
      </c>
      <c r="IV27" s="3">
        <f>100*[7]Monatswerte!IV27/[7]Erwerbspersonen!$G28</f>
        <v>6.9785999319738474</v>
      </c>
      <c r="IW27" s="3">
        <f>100*[7]Monatswerte!IW27/[7]Erwerbspersonen!$G28</f>
        <v>6.9930185268746206</v>
      </c>
      <c r="IX27" s="3">
        <f>100*[7]Monatswerte!IX27/[7]Erwerbspersonen!$G28</f>
        <v>6.7983674957141922</v>
      </c>
      <c r="IY27" s="3">
        <f>100*[7]Monatswerte!IY27/[7]Erwerbspersonen!$G28</f>
        <v>6.6469722492560823</v>
      </c>
      <c r="IZ27" s="3">
        <f>100*[7]Monatswerte!IZ27/[7]Erwerbspersonen!$G28</f>
        <v>6.8920883625692131</v>
      </c>
      <c r="JA27" s="3">
        <f>100*[7]Monatswerte!JA27/[7]Erwerbspersonen!$G28</f>
        <v>6.9281348498211441</v>
      </c>
      <c r="JB27" s="3">
        <f>100*[7]Monatswerte!JB27/[7]Erwerbspersonen!$G28</f>
        <v>6.6469722492560823</v>
      </c>
      <c r="JC27" s="3">
        <f>100*[7]Monatswerte!JC27/[7]Erwerbspersonen!$G28</f>
        <v>6.5532513824010614</v>
      </c>
      <c r="JD27" s="3">
        <f>100*[7]Monatswerte!JD27/[7]Erwerbspersonen!$G28</f>
        <v>6.9281348498211441</v>
      </c>
      <c r="JE27" s="3">
        <f>100*[7]Monatswerte!JE27/[7]Erwerbspersonen!$G28</f>
        <v>7.1083672860807994</v>
      </c>
      <c r="JF27" s="3">
        <f>100*[7]Monatswerte!JF27/[7]Erwerbspersonen!$G28</f>
        <v>7.2237160452869791</v>
      </c>
      <c r="JG27" s="60">
        <f>100*[7]Monatswerte!JG27/[7]Erwerbspersonen!$G28</f>
        <v>7.4255763738977922</v>
      </c>
      <c r="JH27" s="3">
        <f>100*[7]Monatswerte!JH27/[7]Erwerbspersonen!$G28</f>
        <v>7.2958090197908412</v>
      </c>
      <c r="JI27" s="3">
        <f>100*[7]Monatswerte!JI27/[7]Erwerbspersonen!$G28</f>
        <v>7.1804602605846615</v>
      </c>
    </row>
    <row r="28" spans="1:269" s="1" customFormat="1" x14ac:dyDescent="0.2">
      <c r="A28" s="1" t="s">
        <v>32</v>
      </c>
      <c r="B28" s="1">
        <v>21</v>
      </c>
      <c r="C28" s="21">
        <f>100*Monatswerte!C28/Erwerbspersonen!$B29</f>
        <v>5.545294178686313</v>
      </c>
      <c r="D28" s="21">
        <f>100*Monatswerte!D28/Erwerbspersonen!$B29</f>
        <v>5.5639721905157202</v>
      </c>
      <c r="E28" s="21">
        <f>100*Monatswerte!E28/Erwerbspersonen!$B29</f>
        <v>5.4664314620732597</v>
      </c>
      <c r="F28" s="21">
        <f>100*Monatswerte!F28/Erwerbspersonen!$B29</f>
        <v>5.4726574660163951</v>
      </c>
      <c r="G28" s="21">
        <f>100*Monatswerte!G28/Erwerbspersonen!$B29</f>
        <v>5.2464459894157933</v>
      </c>
      <c r="H28" s="21">
        <f>100*Monatswerte!H28/Erwerbspersonen!$B29</f>
        <v>5.2236173082909616</v>
      </c>
      <c r="I28" s="21">
        <f>100*Monatswerte!I28/Erwerbspersonen!$B29</f>
        <v>5.2775760091314723</v>
      </c>
      <c r="J28" s="21">
        <f>100*Monatswerte!J28/Erwerbspersonen!$B29</f>
        <v>5.4373767770052925</v>
      </c>
      <c r="K28" s="21">
        <f>100*Monatswerte!K28/Erwerbspersonen!$B29</f>
        <v>5.4166234305281726</v>
      </c>
      <c r="L28" s="21">
        <f>100*Monatswerte!L28/Erwerbspersonen!$B29</f>
        <v>5.2173913043478262</v>
      </c>
      <c r="M28" s="21">
        <f>100*Monatswerte!M28/Erwerbspersonen!$B29</f>
        <v>5.3792674068693573</v>
      </c>
      <c r="N28" s="27">
        <f>100*Monatswerte!N28/Erwerbspersonen!$B29</f>
        <v>5.5141641589706341</v>
      </c>
      <c r="O28" s="21">
        <f>100*Monatswerte!O28/Erwerbspersonen!$B29</f>
        <v>5.5722735291065684</v>
      </c>
      <c r="P28" s="21">
        <f>100*Monatswerte!P28/Erwerbspersonen!$B29</f>
        <v>5.636608903185639</v>
      </c>
      <c r="Q28" s="21">
        <f>100*Monatswerte!Q28/Erwerbspersonen!$B29</f>
        <v>5.5577461865725848</v>
      </c>
      <c r="R28" s="21">
        <f>100*Monatswerte!R28/Erwerbspersonen!$B29</f>
        <v>5.4249247691190208</v>
      </c>
      <c r="S28" s="21">
        <f>100*Monatswerte!S28/Erwerbspersonen!$B29</f>
        <v>5.4788834699595306</v>
      </c>
      <c r="T28" s="21">
        <f>100*Monatswerte!T28/Erwerbspersonen!$B29</f>
        <v>5.4954861471412269</v>
      </c>
      <c r="U28" s="21">
        <f>100*Monatswerte!U28/Erwerbspersonen!$B29</f>
        <v>5.3792674068693573</v>
      </c>
      <c r="V28" s="21">
        <f>100*Monatswerte!V28/Erwerbspersonen!$B29</f>
        <v>5.5120888243229222</v>
      </c>
      <c r="W28" s="21">
        <f>100*Monatswerte!W28/Erwerbspersonen!$B29</f>
        <v>5.5266161668569058</v>
      </c>
      <c r="X28" s="21">
        <f>100*Monatswerte!X28/Erwerbspersonen!$B29</f>
        <v>5.4560547888346997</v>
      </c>
      <c r="Y28" s="21">
        <f>100*Monatswerte!Y28/Erwerbspersonen!$B29</f>
        <v>5.5971775448791119</v>
      </c>
      <c r="Z28" s="27">
        <f>100*Monatswerte!Z28/Erwerbspersonen!$B29</f>
        <v>5.6054788834699592</v>
      </c>
      <c r="AA28" s="21">
        <f>100*Monatswerte!AA28/Erwerbspersonen!$B29</f>
        <v>5.7279236276849641</v>
      </c>
      <c r="AB28" s="21">
        <f>100*Monatswerte!AB28/Erwerbspersonen!$B29</f>
        <v>5.5888762062882638</v>
      </c>
      <c r="AC28" s="21">
        <f>100*Monatswerte!AC28/Erwerbspersonen!$B29</f>
        <v>5.5598215212202966</v>
      </c>
      <c r="AD28" s="21">
        <f>100*Monatswerte!AD28/Erwerbspersonen!$B29</f>
        <v>5.4311507730621562</v>
      </c>
      <c r="AE28" s="21">
        <f>100*Monatswerte!AE28/Erwerbspersonen!$B29</f>
        <v>5.1385285877347719</v>
      </c>
      <c r="AF28" s="21">
        <f>100*Monatswerte!AF28/Erwerbspersonen!$B29</f>
        <v>5.0057071702812079</v>
      </c>
      <c r="AG28" s="21">
        <f>100*Monatswerte!AG28/Erwerbspersonen!$B29</f>
        <v>4.9102417764864583</v>
      </c>
      <c r="AH28" s="21">
        <f>100*Monatswerte!AH28/Erwerbspersonen!$B29</f>
        <v>4.9932551623949362</v>
      </c>
      <c r="AI28" s="21">
        <f>100*Monatswerte!AI28/Erwerbspersonen!$B29</f>
        <v>4.8770364221230675</v>
      </c>
      <c r="AJ28" s="21">
        <f>100*Monatswerte!AJ28/Erwerbspersonen!$B29</f>
        <v>4.7130849849538237</v>
      </c>
      <c r="AK28" s="21">
        <f>100*Monatswerte!AK28/Erwerbspersonen!$B29</f>
        <v>4.6736536266472966</v>
      </c>
      <c r="AL28" s="27">
        <f>100*Monatswerte!AL28/Erwerbspersonen!$B29</f>
        <v>4.7753450243851825</v>
      </c>
      <c r="AM28" s="21">
        <f>100*Monatswerte!AM28/Erwerbspersonen!$B29</f>
        <v>4.8334543945211168</v>
      </c>
      <c r="AN28" s="21">
        <f>100*Monatswerte!AN28/Erwerbspersonen!$B29</f>
        <v>4.8438310677596759</v>
      </c>
      <c r="AO28" s="21">
        <f>100*Monatswerte!AO28/Erwerbspersonen!$B29</f>
        <v>4.7628930164989107</v>
      </c>
      <c r="AP28" s="21">
        <f>100*Monatswerte!AP28/Erwerbspersonen!$B29</f>
        <v>4.5615855556708516</v>
      </c>
      <c r="AQ28" s="21">
        <f>100*Monatswerte!AQ28/Erwerbspersonen!$B29</f>
        <v>4.5076268548303418</v>
      </c>
      <c r="AR28" s="21">
        <f>100*Monatswerte!AR28/Erwerbspersonen!$B29</f>
        <v>4.4225381342741521</v>
      </c>
      <c r="AS28" s="21">
        <f>100*Monatswerte!AS28/Erwerbspersonen!$B29</f>
        <v>4.4204627996264394</v>
      </c>
      <c r="AT28" s="21">
        <f>100*Monatswerte!AT28/Erwerbspersonen!$B29</f>
        <v>4.3955587838538968</v>
      </c>
      <c r="AU28" s="21">
        <f>100*Monatswerte!AU28/Erwerbspersonen!$B29</f>
        <v>4.2440593545709246</v>
      </c>
      <c r="AV28" s="21">
        <f>100*Monatswerte!AV28/Erwerbspersonen!$B29</f>
        <v>4.1236899450036315</v>
      </c>
      <c r="AW28" s="21">
        <f>100*Monatswerte!AW28/Erwerbspersonen!$B29</f>
        <v>4.2419840199232128</v>
      </c>
      <c r="AX28" s="27">
        <f>100*Monatswerte!AX28/Erwerbspersonen!$B29</f>
        <v>4.3665040987859296</v>
      </c>
      <c r="AY28" s="21">
        <f>100*Monatswerte!AY28/Erwerbspersonen!$C29</f>
        <v>3.9623658912999016</v>
      </c>
      <c r="AZ28" s="21">
        <f>100*Monatswerte!AZ28/Erwerbspersonen!$C29</f>
        <v>3.8340677934586562</v>
      </c>
      <c r="BA28" s="21">
        <f>100*Monatswerte!BA28/Erwerbspersonen!$C29</f>
        <v>3.8191926516799612</v>
      </c>
      <c r="BB28" s="21">
        <f>100*Monatswerte!BB28/Erwerbspersonen!$C29</f>
        <v>3.7522545136758336</v>
      </c>
      <c r="BC28" s="21">
        <f>100*Monatswerte!BC28/Erwerbspersonen!$C29</f>
        <v>3.5886279541101875</v>
      </c>
      <c r="BD28" s="21">
        <f>100*Monatswerte!BD28/Erwerbspersonen!$C29</f>
        <v>3.4584704635466057</v>
      </c>
      <c r="BE28" s="21">
        <f>100*Monatswerte!BE28/Erwerbspersonen!$C29</f>
        <v>3.4435953217679107</v>
      </c>
      <c r="BF28" s="21">
        <f>100*Monatswerte!BF28/Erwerbspersonen!$C29</f>
        <v>3.3803759692084565</v>
      </c>
      <c r="BG28" s="21">
        <f>100*Monatswerte!BG28/Erwerbspersonen!$C29</f>
        <v>3.3878135400978042</v>
      </c>
      <c r="BH28" s="21">
        <f>100*Monatswerte!BH28/Erwerbspersonen!$C29</f>
        <v>3.4380171436008999</v>
      </c>
      <c r="BI28" s="21">
        <f>100*Monatswerte!BI28/Erwerbspersonen!$C29</f>
        <v>3.5495807069411129</v>
      </c>
      <c r="BJ28" s="27">
        <f>100*Monatswerte!BJ28/Erwerbspersonen!$C29</f>
        <v>3.8359271861809932</v>
      </c>
      <c r="BK28" s="21">
        <f>100*Monatswerte!BK28/Erwerbspersonen!$C29</f>
        <v>4.1148360945315261</v>
      </c>
      <c r="BL28" s="21">
        <f>100*Monatswerte!BL28/Erwerbspersonen!$C29</f>
        <v>4.2431341923727715</v>
      </c>
      <c r="BM28" s="21">
        <f>100*Monatswerte!BM28/Erwerbspersonen!$C29</f>
        <v>4.4588237481638497</v>
      </c>
      <c r="BN28" s="21">
        <f>100*Monatswerte!BN28/Erwerbspersonen!$C29</f>
        <v>4.6057157732284635</v>
      </c>
      <c r="BO28" s="21">
        <f>100*Monatswerte!BO28/Erwerbspersonen!$C29</f>
        <v>4.6131533441178112</v>
      </c>
      <c r="BP28" s="21">
        <f>100*Monatswerte!BP28/Erwerbspersonen!$C29</f>
        <v>5.0408136702552948</v>
      </c>
      <c r="BQ28" s="21">
        <f>100*Monatswerte!BQ28/Erwerbspersonen!$C29</f>
        <v>5.1914244807645824</v>
      </c>
      <c r="BR28" s="21">
        <f>100*Monatswerte!BR28/Erwerbspersonen!$C29</f>
        <v>5.2843941168814261</v>
      </c>
      <c r="BS28" s="21">
        <f>100*Monatswerte!BS28/Erwerbspersonen!$C29</f>
        <v>5.3885201093322923</v>
      </c>
      <c r="BT28" s="21">
        <f>100*Monatswerte!BT28/Erwerbspersonen!$C29</f>
        <v>5.4294267492237038</v>
      </c>
      <c r="BU28" s="21">
        <f>100*Monatswerte!BU28/Erwerbspersonen!$C29</f>
        <v>5.4331455346683777</v>
      </c>
      <c r="BV28" s="27">
        <f>100*Monatswerte!BV28/Erwerbspersonen!$C29</f>
        <v>5.6674290176828244</v>
      </c>
      <c r="BW28" s="21">
        <f>100*Monatswerte!BW28/Erwerbspersonen!$C29</f>
        <v>5.7511016901879843</v>
      </c>
      <c r="BX28" s="21">
        <f>100*Monatswerte!BX28/Erwerbspersonen!$C29</f>
        <v>5.8180398281921129</v>
      </c>
      <c r="BY28" s="21">
        <f>100*Monatswerte!BY28/Erwerbspersonen!$C29</f>
        <v>5.8050240791357544</v>
      </c>
      <c r="BZ28" s="21">
        <f>100*Monatswerte!BZ28/Erwerbspersonen!$C29</f>
        <v>5.5093806362841899</v>
      </c>
      <c r="CA28" s="21">
        <f>100*Monatswerte!CA28/Erwerbspersonen!$C29</f>
        <v>5.3978170729439761</v>
      </c>
      <c r="CB28" s="21">
        <f>100*Monatswerte!CB28/Erwerbspersonen!$C29</f>
        <v>5.3457540767185439</v>
      </c>
      <c r="CC28" s="21">
        <f>100*Monatswerte!CC28/Erwerbspersonen!$C29</f>
        <v>5.3662073966642492</v>
      </c>
      <c r="CD28" s="21">
        <f>100*Monatswerte!CD28/Erwerbspersonen!$C29</f>
        <v>5.2527844406016992</v>
      </c>
      <c r="CE28" s="21">
        <f>100*Monatswerte!CE28/Erwerbspersonen!$C29</f>
        <v>5.0835797028690433</v>
      </c>
      <c r="CF28" s="21">
        <f>100*Monatswerte!CF28/Erwerbspersonen!$C29</f>
        <v>4.9441252486937763</v>
      </c>
      <c r="CG28" s="21">
        <f>100*Monatswerte!CG28/Erwerbspersonen!$C29</f>
        <v>4.8251241144642156</v>
      </c>
      <c r="CH28" s="27">
        <f>100*Monatswerte!CH28/Erwerbspersonen!$C29</f>
        <v>4.9069373942470387</v>
      </c>
      <c r="CI28" s="21">
        <f>100*Monatswerte!CI28/Erwerbspersonen!$C29</f>
        <v>4.8492962198545957</v>
      </c>
      <c r="CJ28" s="21">
        <f>100*Monatswerte!CJ28/Erwerbspersonen!$C29</f>
        <v>4.7135605511240026</v>
      </c>
      <c r="CK28" s="21">
        <f>100*Monatswerte!CK28/Erwerbspersonen!$C29</f>
        <v>4.4867146389989028</v>
      </c>
      <c r="CL28" s="21">
        <f>100*Monatswerte!CL28/Erwerbspersonen!$C29</f>
        <v>4.0646324910284299</v>
      </c>
      <c r="CM28" s="21">
        <f>100*Monatswerte!CM28/Erwerbspersonen!$C29</f>
        <v>3.9028653241851212</v>
      </c>
      <c r="CN28" s="21">
        <f>100*Monatswerte!CN28/Erwerbspersonen!$C29</f>
        <v>3.8675368624607205</v>
      </c>
      <c r="CO28" s="21">
        <f>100*Monatswerte!CO28/Erwerbspersonen!$C29</f>
        <v>3.6890351611163794</v>
      </c>
      <c r="CP28" s="21">
        <f>100*Monatswerte!CP28/Erwerbspersonen!$C29</f>
        <v>3.7057696956174113</v>
      </c>
      <c r="CQ28" s="21">
        <f>100*Monatswerte!CQ28/Erwerbspersonen!$C29</f>
        <v>3.6183782376675779</v>
      </c>
      <c r="CR28" s="21">
        <f>100*Monatswerte!CR28/Erwerbspersonen!$C29</f>
        <v>3.6295345940015991</v>
      </c>
      <c r="CS28" s="21">
        <f>100*Monatswerte!CS28/Erwerbspersonen!$C29</f>
        <v>3.8563805061266989</v>
      </c>
      <c r="CT28" s="27">
        <f>100*Monatswerte!CT28/Erwerbspersonen!$C29</f>
        <v>4.0962421673081568</v>
      </c>
      <c r="CU28" s="21">
        <f>100*Monatswerte!CU28/Erwerbspersonen!$C29</f>
        <v>4.1706178762016322</v>
      </c>
      <c r="CV28" s="21">
        <f>100*Monatswerte!CV28/Erwerbspersonen!$C29</f>
        <v>4.1445863780889161</v>
      </c>
      <c r="CW28" s="21">
        <f>100*Monatswerte!CW28/Erwerbspersonen!$C29</f>
        <v>4.0088507093583239</v>
      </c>
      <c r="CX28" s="21">
        <f>100*Monatswerte!CX28/Erwerbspersonen!$C29</f>
        <v>3.95120953496588</v>
      </c>
      <c r="CY28" s="21">
        <f>100*Monatswerte!CY28/Erwerbspersonen!$C29</f>
        <v>3.9493501422435431</v>
      </c>
      <c r="CZ28" s="21">
        <f>100*Monatswerte!CZ28/Erwerbspersonen!$C29</f>
        <v>4.00513192391365</v>
      </c>
      <c r="DA28" s="21">
        <f>100*Monatswerte!DA28/Erwerbspersonen!$C29</f>
        <v>4.0386009929157138</v>
      </c>
      <c r="DB28" s="21">
        <f>100*Monatswerte!DB28/Erwerbspersonen!$C29</f>
        <v>4.0386009929157138</v>
      </c>
      <c r="DC28" s="21">
        <f>100*Monatswerte!DC28/Erwerbspersonen!$C29</f>
        <v>4.1036797381975045</v>
      </c>
      <c r="DD28" s="21">
        <f>100*Monatswerte!DD28/Erwerbspersonen!$C29</f>
        <v>4.2245402651494022</v>
      </c>
      <c r="DE28" s="21">
        <f>100*Monatswerte!DE28/Erwerbspersonen!$C29</f>
        <v>4.4123389301054274</v>
      </c>
      <c r="DF28" s="27">
        <f>100*Monatswerte!DF28/Erwerbspersonen!$C29</f>
        <v>4.6800914821219388</v>
      </c>
      <c r="DG28" s="21">
        <f>100*Monatswerte!DG28/Erwerbspersonen!$C29</f>
        <v>4.8492962198545957</v>
      </c>
      <c r="DH28" s="21">
        <f>100*Monatswerte!DH28/Erwerbspersonen!$C29</f>
        <v>4.8176865435748688</v>
      </c>
      <c r="DI28" s="21">
        <f>100*Monatswerte!DI28/Erwerbspersonen!$C29</f>
        <v>4.6373254495081904</v>
      </c>
      <c r="DJ28" s="21">
        <f>100*Monatswerte!DJ28/Erwerbspersonen!$C29</f>
        <v>4.535058849779662</v>
      </c>
      <c r="DK28" s="21">
        <f>100*Monatswerte!DK28/Erwerbspersonen!$C29</f>
        <v>4.4030419664937428</v>
      </c>
      <c r="DL28" s="21">
        <f>100*Monatswerte!DL28/Erwerbspersonen!$C29</f>
        <v>4.3918856101597221</v>
      </c>
      <c r="DM28" s="21">
        <f>100*Monatswerte!DM28/Erwerbspersonen!$C29</f>
        <v>4.3974637883267329</v>
      </c>
      <c r="DN28" s="21">
        <f>100*Monatswerte!DN28/Erwerbspersonen!$C29</f>
        <v>4.3546977557129845</v>
      </c>
      <c r="DO28" s="21">
        <f>100*Monatswerte!DO28/Erwerbspersonen!$C29</f>
        <v>4.282181439541846</v>
      </c>
      <c r="DP28" s="21">
        <f>100*Monatswerte!DP28/Erwerbspersonen!$C29</f>
        <v>4.2896190104311929</v>
      </c>
      <c r="DQ28" s="21">
        <f>100*Monatswerte!DQ28/Erwerbspersonen!$C29</f>
        <v>4.4662613190531975</v>
      </c>
      <c r="DR28" s="27">
        <f>100*Monatswerte!DR28/Erwerbspersonen!$C29</f>
        <v>4.5852624532827582</v>
      </c>
      <c r="DS28" s="21">
        <f>100*Monatswerte!DS28/Erwerbspersonen!$D29</f>
        <v>4.5858442946522322</v>
      </c>
      <c r="DT28" s="21">
        <f>100*Monatswerte!DT28/Erwerbspersonen!$D29</f>
        <v>4.5042522408856742</v>
      </c>
      <c r="DU28" s="21">
        <f>100*Monatswerte!DU28/Erwerbspersonen!$D29</f>
        <v>4.3781554305191754</v>
      </c>
      <c r="DV28" s="21">
        <f>100*Monatswerte!DV28/Erwerbspersonen!$D29</f>
        <v>4.1982820392610813</v>
      </c>
      <c r="DW28" s="21">
        <f>100*Monatswerte!DW28/Erwerbspersonen!$D29</f>
        <v>4.0517872154529426</v>
      </c>
      <c r="DX28" s="21">
        <f>100*Monatswerte!DX28/Erwerbspersonen!$D29</f>
        <v>4.0202630128613182</v>
      </c>
      <c r="DY28" s="21">
        <f>100*Monatswerte!DY28/Erwerbspersonen!$D29</f>
        <v>3.9609233373947301</v>
      </c>
      <c r="DZ28" s="21">
        <f>100*Monatswerte!DZ28/Erwerbspersonen!$D29</f>
        <v>3.8496614458948786</v>
      </c>
      <c r="EA28" s="21">
        <f>100*Monatswerte!EA28/Erwerbspersonen!$D29</f>
        <v>3.8941662024948194</v>
      </c>
      <c r="EB28" s="21">
        <f>100*Monatswerte!EB28/Erwerbspersonen!$D29</f>
        <v>3.9701951616863846</v>
      </c>
      <c r="EC28" s="21">
        <f>100*Monatswerte!EC28/Erwerbspersonen!$D29</f>
        <v>4.0666221343195899</v>
      </c>
      <c r="ED28" s="21">
        <f>100*Monatswerte!ED28/Erwerbspersonen!$D29</f>
        <v>4.2631848093026612</v>
      </c>
      <c r="EE28" s="25">
        <f>100*Monatswerte!EE28/Erwerbspersonen!$D29</f>
        <v>4.3299419442025728</v>
      </c>
      <c r="EF28" s="21">
        <f>100*Monatswerte!EF28/Erwerbspersonen!$D29</f>
        <v>4.346631227927551</v>
      </c>
      <c r="EG28" s="21">
        <f>100*Monatswerte!EG28/Erwerbspersonen!$D29</f>
        <v>4.4449125654190862</v>
      </c>
      <c r="EH28" s="21">
        <f>100*Monatswerte!EH28/Erwerbspersonen!$D29</f>
        <v>4.4189514574024544</v>
      </c>
      <c r="EI28" s="21">
        <f>100*Monatswerte!EI28/Erwerbspersonen!$D29</f>
        <v>4.3651748765108591</v>
      </c>
      <c r="EJ28" s="21">
        <f>100*Monatswerte!EJ28/Erwerbspersonen!$D29</f>
        <v>4.4782911328690425</v>
      </c>
      <c r="EK28" s="21">
        <f>100*Monatswerte!EK28/Erwerbspersonen!$D29</f>
        <v>4.5988248486605485</v>
      </c>
      <c r="EL28" s="21">
        <f>100*Monatswerte!EL28/Erwerbspersonen!$D29</f>
        <v>4.5469026326272841</v>
      </c>
      <c r="EM28" s="21">
        <f>100*Monatswerte!EM28/Erwerbspersonen!$D29</f>
        <v>4.6136597675271949</v>
      </c>
      <c r="EN28" s="21">
        <f>100*Monatswerte!EN28/Erwerbspersonen!$D29</f>
        <v>4.6767081727104447</v>
      </c>
      <c r="EO28" s="21">
        <f>100*Monatswerte!EO28/Erwerbspersonen!$D29</f>
        <v>4.9233386988684495</v>
      </c>
      <c r="EP28" s="21">
        <f>100*Monatswerte!EP28/Erwerbspersonen!$D29</f>
        <v>5.1495712115848153</v>
      </c>
      <c r="EQ28" s="25">
        <f>100*Monatswerte!EQ28/Erwerbspersonen!$D29</f>
        <v>5.1644061304514626</v>
      </c>
      <c r="ER28" s="21">
        <f>100*Monatswerte!ER28/Erwerbspersonen!$D29</f>
        <v>5.2404350896430278</v>
      </c>
      <c r="ES28" s="21">
        <f>100*Monatswerte!ES28/Erwerbspersonen!$D29</f>
        <v>5.2033477924764107</v>
      </c>
      <c r="ET28" s="21">
        <f>100*Monatswerte!ET28/Erwerbspersonen!$D29</f>
        <v>5.1384450224348308</v>
      </c>
      <c r="EU28" s="21">
        <f>100*Monatswerte!EU28/Erwerbspersonen!$D29</f>
        <v>5.0104938472100002</v>
      </c>
      <c r="EV28" s="21">
        <f>100*Monatswerte!EV28/Erwerbspersonen!$D29</f>
        <v>4.8973775908518178</v>
      </c>
      <c r="EW28" s="21">
        <f>100*Monatswerte!EW28/Erwerbspersonen!$D29</f>
        <v>4.8510184693935461</v>
      </c>
      <c r="EX28" s="21">
        <f>100*Monatswerte!EX28/Erwerbspersonen!$D29</f>
        <v>4.9863871040516994</v>
      </c>
      <c r="EY28" s="21">
        <f>100*Monatswerte!EY28/Erwerbspersonen!$D29</f>
        <v>5.0290374957933093</v>
      </c>
      <c r="EZ28" s="21">
        <f>100*Monatswerte!EZ28/Erwerbspersonen!$D29</f>
        <v>5.1421537521514917</v>
      </c>
      <c r="FA28" s="21">
        <f>100*Monatswerte!FA28/Erwerbspersonen!$D29</f>
        <v>5.2608331030846678</v>
      </c>
      <c r="FB28" s="27">
        <f>100*Monatswerte!FB28/Erwerbspersonen!$D29</f>
        <v>5.3943473728844902</v>
      </c>
      <c r="FC28" s="21">
        <f>100*Monatswerte!FC28/Erwerbspersonen!$E29</f>
        <v>5.2191971951344307</v>
      </c>
      <c r="FD28" s="21">
        <f>100*Monatswerte!FD28/Erwerbspersonen!$E29</f>
        <v>5.2473995440443089</v>
      </c>
      <c r="FE28" s="21">
        <f>100*Monatswerte!FE28/Erwerbspersonen!$E29</f>
        <v>5.1398780888253963</v>
      </c>
      <c r="FF28" s="21">
        <f>100*Monatswerte!FF28/Erwerbspersonen!$E29</f>
        <v>4.9724266421729917</v>
      </c>
      <c r="FG28" s="21">
        <f>100*Monatswerte!FG28/Erwerbspersonen!$E29</f>
        <v>4.9213098847738364</v>
      </c>
      <c r="FH28" s="21">
        <f>100*Monatswerte!FH28/Erwerbspersonen!$E29</f>
        <v>4.9054460635120298</v>
      </c>
      <c r="FI28" s="21">
        <f>100*Monatswerte!FI28/Erwerbspersonen!$E29</f>
        <v>4.9724266421729917</v>
      </c>
      <c r="FJ28" s="21">
        <f>100*Monatswerte!FJ28/Erwerbspersonen!$E29</f>
        <v>4.9336484124219089</v>
      </c>
      <c r="FK28" s="21">
        <f>100*Monatswerte!FK28/Erwerbspersonen!$E29</f>
        <v>4.8983954762845601</v>
      </c>
      <c r="FL28" s="21">
        <f>100*Monatswerte!FL28/Erwerbspersonen!$E29</f>
        <v>4.8490413656922726</v>
      </c>
      <c r="FM28" s="21">
        <f>100*Monatswerte!FM28/Erwerbspersonen!$E29</f>
        <v>5.0517457484820261</v>
      </c>
      <c r="FN28" s="21">
        <f>100*Monatswerte!FN28/Erwerbspersonen!$E29</f>
        <v>5.1892321994176847</v>
      </c>
      <c r="FO28" s="25">
        <f>100*Monatswerte!FO28/Erwerbspersonen!$E29</f>
        <v>5.1680804377352754</v>
      </c>
      <c r="FP28" s="21">
        <f>100*Monatswerte!FP28/Erwerbspersonen!$E29</f>
        <v>5.0887613314262419</v>
      </c>
      <c r="FQ28" s="21">
        <f>100*Monatswerte!FQ28/Erwerbspersonen!$E29</f>
        <v>5.0552710420957601</v>
      </c>
      <c r="FR28" s="21">
        <f>100*Monatswerte!FR28/Erwerbspersonen!$E29</f>
        <v>4.8966328294776931</v>
      </c>
      <c r="FS28" s="21">
        <f>100*Monatswerte!FS28/Erwerbspersonen!$E29</f>
        <v>4.7203681487909508</v>
      </c>
      <c r="FT28" s="21">
        <f>100*Monatswerte!FT28/Erwerbspersonen!$E29</f>
        <v>4.4401073064990308</v>
      </c>
      <c r="FU28" s="21">
        <f>100*Monatswerte!FU28/Erwerbspersonen!$E29</f>
        <v>4.4189555448166216</v>
      </c>
      <c r="FV28" s="21">
        <f>100*Monatswerte!FV28/Erwerbspersonen!$E29</f>
        <v>4.3960411363273453</v>
      </c>
      <c r="FW28" s="21">
        <f>100*Monatswerte!FW28/Erwerbspersonen!$E29</f>
        <v>4.4436326001127657</v>
      </c>
      <c r="FX28" s="21">
        <f>100*Monatswerte!FX28/Erwerbspersonen!$E29</f>
        <v>4.5106131787737276</v>
      </c>
      <c r="FY28" s="21">
        <f>100*Monatswerte!FY28/Erwerbspersonen!$E29</f>
        <v>4.6745393318123973</v>
      </c>
      <c r="FZ28" s="21">
        <f>100*Monatswerte!FZ28/Erwerbspersonen!$E29</f>
        <v>4.7168428551772159</v>
      </c>
      <c r="GA28" s="25">
        <f>100*Monatswerte!GA28/Erwerbspersonen!$E29</f>
        <v>4.5987455191170987</v>
      </c>
      <c r="GB28" s="21">
        <f>100*Monatswerte!GB28/Erwerbspersonen!$E29</f>
        <v>4.5811190510484243</v>
      </c>
      <c r="GC28" s="21">
        <f>100*Monatswerte!GC28/Erwerbspersonen!$E29</f>
        <v>4.558204642559148</v>
      </c>
      <c r="GD28" s="21">
        <f>100*Monatswerte!GD28/Erwerbspersonen!$E29</f>
        <v>4.403091723554815</v>
      </c>
      <c r="GE28" s="21">
        <f>100*Monatswerte!GE28/Erwerbspersonen!$E29</f>
        <v>4.3625508469968644</v>
      </c>
      <c r="GF28" s="21">
        <f>100*Monatswerte!GF28/Erwerbspersonen!$E29</f>
        <v>4.2356402769024104</v>
      </c>
      <c r="GG28" s="21">
        <f>100*Monatswerte!GG28/Erwerbspersonen!$E29</f>
        <v>4.2567920385848188</v>
      </c>
      <c r="GH28" s="21">
        <f>100*Monatswerte!GH28/Erwerbspersonen!$E29</f>
        <v>4.1510332301727741</v>
      </c>
      <c r="GI28" s="21">
        <f>100*Monatswerte!GI28/Erwerbspersonen!$E29</f>
        <v>4.1774729322757853</v>
      </c>
      <c r="GJ28" s="21">
        <f>100*Monatswerte!GJ28/Erwerbspersonen!$E29</f>
        <v>4.2321149832886755</v>
      </c>
      <c r="GK28" s="21">
        <f>100*Monatswerte!GK28/Erwerbspersonen!$E29</f>
        <v>4.3960411363273453</v>
      </c>
      <c r="GL28" s="21">
        <f>100*Monatswerte!GL28/Erwerbspersonen!$E29</f>
        <v>4.4859361234775834</v>
      </c>
      <c r="GM28" s="25">
        <f>100*Monatswerte!GM28/Erwerbspersonen!$F29</f>
        <v>4.5492260401350251</v>
      </c>
      <c r="GN28" s="21">
        <f>100*Monatswerte!GN28/Erwerbspersonen!$F29</f>
        <v>4.4879205762568679</v>
      </c>
      <c r="GO28" s="21">
        <f>100*Monatswerte!GO28/Erwerbspersonen!$F29</f>
        <v>4.9909860004335114</v>
      </c>
      <c r="GP28" s="21">
        <f>100*Monatswerte!GP28/Erwerbspersonen!$F29</f>
        <v>5.3335753573996847</v>
      </c>
      <c r="GQ28" s="21">
        <f>100*Monatswerte!GQ28/Erwerbspersonen!$F29</f>
        <v>5.3804560062476874</v>
      </c>
      <c r="GR28" s="21">
        <f>100*Monatswerte!GR28/Erwerbspersonen!$F29</f>
        <v>5.5283103603067723</v>
      </c>
      <c r="GS28" s="21">
        <f>100*Monatswerte!GS28/Erwerbspersonen!$F29</f>
        <v>5.8258221703037121</v>
      </c>
      <c r="GT28" s="21">
        <f>100*Monatswerte!GT28/Erwerbspersonen!$F29</f>
        <v>5.7627136045467857</v>
      </c>
      <c r="GU28" s="21">
        <f>100*Monatswerte!GU28/Erwerbspersonen!$F29</f>
        <v>5.746485687637862</v>
      </c>
      <c r="GV28" s="21">
        <f>100*Monatswerte!GV28/Erwerbspersonen!$F29</f>
        <v>5.6923926312747817</v>
      </c>
      <c r="GW28" s="21">
        <f>100*Monatswerte!GW28/Erwerbspersonen!$F29</f>
        <v>5.8745059210304849</v>
      </c>
      <c r="GX28" s="27">
        <f>100*Monatswerte!GX28/Erwerbspersonen!$F29</f>
        <v>6.1034998596341898</v>
      </c>
      <c r="GY28" s="21">
        <f>100*Monatswerte!GY28/Erwerbspersonen!$F29</f>
        <v>6.1431681009671149</v>
      </c>
      <c r="GZ28" s="21">
        <f>100*Monatswerte!GZ28/Erwerbspersonen!$F29</f>
        <v>6.1161215727855751</v>
      </c>
      <c r="HA28" s="21">
        <f>100*Monatswerte!HA28/Erwerbspersonen!$F29</f>
        <v>6.105302961512959</v>
      </c>
      <c r="HB28" s="21">
        <f>100*Monatswerte!HB28/Erwerbspersonen!$F29</f>
        <v>5.9808889318778746</v>
      </c>
      <c r="HC28" s="21">
        <f>100*Monatswerte!HC28/Erwerbspersonen!$F29</f>
        <v>5.8961431435757161</v>
      </c>
      <c r="HD28" s="21">
        <f>100*Monatswerte!HD28/Erwerbspersonen!$F29</f>
        <v>5.7338639744864768</v>
      </c>
      <c r="HE28" s="21">
        <f>100*Monatswerte!HE28/Erwerbspersonen!$F29</f>
        <v>5.5824034166698526</v>
      </c>
      <c r="HF28" s="21">
        <f>100*Monatswerte!HF28/Erwerbspersonen!$F29</f>
        <v>5.4615955907923075</v>
      </c>
      <c r="HG28" s="21">
        <f>100*Monatswerte!HG28/Erwerbspersonen!$F29</f>
        <v>5.3714404968538405</v>
      </c>
      <c r="HH28" s="21">
        <f>100*Monatswerte!HH28/Erwerbspersonen!$F29</f>
        <v>5.3353784592784539</v>
      </c>
      <c r="HI28" s="21">
        <f>100*Monatswerte!HI28/Erwerbspersonen!$F29</f>
        <v>5.4489738776409222</v>
      </c>
      <c r="HJ28" s="21">
        <f>100*Monatswerte!HJ28/Erwerbspersonen!$F29</f>
        <v>5.5210979527916955</v>
      </c>
      <c r="HK28" s="60">
        <f>100*Monatswerte!HK28/Erwerbspersonen!$F29</f>
        <v>5.4345490626107678</v>
      </c>
      <c r="HL28" s="3">
        <f>100*Monatswerte!HL28/Erwerbspersonen!$F29</f>
        <v>5.3191505423695302</v>
      </c>
      <c r="HM28" s="3">
        <f>100*Monatswerte!HM28/Erwerbspersonen!$F29</f>
        <v>5.1785085958255221</v>
      </c>
      <c r="HN28" s="3">
        <f>100*Monatswerte!HN28/Erwerbspersonen!$F29</f>
        <v>4.9531208609793556</v>
      </c>
      <c r="HO28" s="3">
        <f>100*Monatswerte!HO28/Erwerbspersonen!$F29</f>
        <v>4.7998572012839622</v>
      </c>
      <c r="HP28" s="3">
        <f>100*Monatswerte!HP28/Erwerbspersonen!$F29</f>
        <v>4.6105315040131822</v>
      </c>
      <c r="HQ28" s="3">
        <f>100*Monatswerte!HQ28/Erwerbspersonen!$F29</f>
        <v>4.4464492330451737</v>
      </c>
      <c r="HR28" s="3">
        <f>100*Monatswerte!HR28/Erwerbspersonen!$F29</f>
        <v>4.3130196940162424</v>
      </c>
      <c r="HS28" s="3">
        <f>100*Monatswerte!HS28/Erwerbspersonen!$F29</f>
        <v>4.1868025625023897</v>
      </c>
      <c r="HT28" s="3">
        <f>100*Monatswerte!HT28/Erwerbspersonen!$F29</f>
        <v>4.1849994606236205</v>
      </c>
      <c r="HU28" s="3">
        <f>100*Monatswerte!HU28/Erwerbspersonen!$F29</f>
        <v>4.2372894151079308</v>
      </c>
      <c r="HV28" s="64">
        <f>100*Monatswerte!HV28/Erwerbspersonen!$F29</f>
        <v>4.3148227958950125</v>
      </c>
      <c r="HW28" s="3">
        <f>100*[5]Monatswerte!HW28/[5]Erwerbspersonen!$F29</f>
        <v>4.2841700639559335</v>
      </c>
      <c r="HX28" s="3">
        <f>100*[5]Monatswerte!HX28/[5]Erwerbspersonen!$F29</f>
        <v>4.3076103883799348</v>
      </c>
      <c r="HY28" s="3">
        <f>100*[5]Monatswerte!HY28/[5]Erwerbspersonen!$F29</f>
        <v>4.2066366831688518</v>
      </c>
      <c r="HZ28" s="3">
        <f>100*[5]Monatswerte!HZ28/[5]Erwerbspersonen!$F29</f>
        <v>4.0858288572913066</v>
      </c>
      <c r="IA28" s="3">
        <f>100*[5]Monatswerte!IA28/[5]Erwerbspersonen!$F29</f>
        <v>3.9740365408076084</v>
      </c>
      <c r="IB28" s="3">
        <f>100*[5]Monatswerte!IB28/[5]Erwerbspersonen!$F29</f>
        <v>3.8676535299602177</v>
      </c>
      <c r="IC28" s="3">
        <f>100*[5]Monatswerte!IC28/[5]Erwerbspersonen!$F29</f>
        <v>3.9235496882020668</v>
      </c>
      <c r="ID28" s="3">
        <f>100*[5]Monatswerte!ID28/[5]Erwerbspersonen!$F29</f>
        <v>3.8820783449903722</v>
      </c>
      <c r="IE28" s="3">
        <f>100*[5]Monatswerte!IE28/[5]Erwerbspersonen!$F29</f>
        <v>3.7702860285066739</v>
      </c>
      <c r="IF28" s="3">
        <f>100*[5]Monatswerte!IF28/[5]Erwerbspersonen!$F29</f>
        <v>3.9001093637780655</v>
      </c>
      <c r="IG28" s="3">
        <f>100*[5]Monatswerte!IG28/[5]Erwerbspersonen!$F29</f>
        <v>4.1453312192906946</v>
      </c>
      <c r="IH28" s="3">
        <f>100*[5]Monatswerte!IH28/[5]Erwerbspersonen!$F29</f>
        <v>4.2174552944414678</v>
      </c>
      <c r="II28" s="60">
        <f>100*[6]Monatswerte!II28/[6]Erwerbspersonen!$G29</f>
        <v>4.3385658678604573</v>
      </c>
      <c r="IJ28" s="3">
        <f>100*[6]Monatswerte!IJ28/[6]Erwerbspersonen!$G29</f>
        <v>4.4282427150671637</v>
      </c>
      <c r="IK28" s="3">
        <f>100*[6]Monatswerte!IK28/[6]Erwerbspersonen!$G29</f>
        <v>4.3816107545196763</v>
      </c>
      <c r="IL28" s="3">
        <f>100*[6]Monatswerte!IL28/[6]Erwerbspersonen!$G29</f>
        <v>4.4372103997878343</v>
      </c>
      <c r="IM28" s="3">
        <f>100*[6]Monatswerte!IM28/[6]Erwerbspersonen!$G29</f>
        <v>4.4300362520112975</v>
      </c>
      <c r="IN28" s="3">
        <f>100*[6]Monatswerte!IN28/[6]Erwerbspersonen!$G29</f>
        <v>4.4497651583967732</v>
      </c>
      <c r="IO28" s="3">
        <f>100*[6]Monatswerte!IO28/[6]Erwerbspersonen!$G29</f>
        <v>4.6255317789219177</v>
      </c>
      <c r="IP28" s="3">
        <f>100*[6]Monatswerte!IP28/[6]Erwerbspersonen!$G29</f>
        <v>4.4712876017263827</v>
      </c>
      <c r="IQ28" s="3">
        <f>100*[6]Monatswerte!IQ28/[6]Erwerbspersonen!$G29</f>
        <v>4.636293000586722</v>
      </c>
      <c r="IR28" s="3">
        <f>100*[6]Monatswerte!IR28/[6]Erwerbspersonen!$G29</f>
        <v>4.8855946358213664</v>
      </c>
      <c r="IS28" s="3">
        <f>100*[6]Monatswerte!IS28/[6]Erwerbspersonen!$G29</f>
        <v>5.1617993252180217</v>
      </c>
      <c r="IT28" s="3">
        <f>100*[6]Monatswerte!IT28/[6]Erwerbspersonen!$G29</f>
        <v>5.3680560737934471</v>
      </c>
      <c r="IU28" s="60">
        <f>100*[7]Monatswerte!IU28/[7]Erwerbspersonen!$G29</f>
        <v>5.5509968420951274</v>
      </c>
      <c r="IV28" s="3">
        <f>100*[7]Monatswerte!IV28/[7]Erwerbspersonen!$G29</f>
        <v>5.6155641720839569</v>
      </c>
      <c r="IW28" s="3">
        <f>100*[7]Monatswerte!IW28/[7]Erwerbspersonen!$G29</f>
        <v>5.6263253937487612</v>
      </c>
      <c r="IX28" s="3">
        <f>100*[7]Monatswerte!IX28/[7]Erwerbspersonen!$G29</f>
        <v>5.5384420834861894</v>
      </c>
      <c r="IY28" s="3">
        <f>100*[7]Monatswerte!IY28/[7]Erwerbspersonen!$G29</f>
        <v>5.4397975515588115</v>
      </c>
      <c r="IZ28" s="3">
        <f>100*[7]Monatswerte!IZ28/[7]Erwerbspersonen!$G29</f>
        <v>5.6012158765308833</v>
      </c>
      <c r="JA28" s="3">
        <f>100*[7]Monatswerte!JA28/[7]Erwerbspersonen!$G29</f>
        <v>5.6747508912403823</v>
      </c>
      <c r="JB28" s="3">
        <f>100*[7]Monatswerte!JB28/[7]Erwerbspersonen!$G29</f>
        <v>5.6604025956873096</v>
      </c>
      <c r="JC28" s="3">
        <f>100*[7]Monatswerte!JC28/[7]Erwerbspersonen!$G29</f>
        <v>5.6962733345699927</v>
      </c>
      <c r="JD28" s="3">
        <f>100*[7]Monatswerte!JD28/[7]Erwerbspersonen!$G29</f>
        <v>5.7931243295532351</v>
      </c>
      <c r="JE28" s="3">
        <f>100*[7]Monatswerte!JE28/[7]Erwerbspersonen!$G29</f>
        <v>5.8810076398158078</v>
      </c>
      <c r="JF28" s="3">
        <f>100*[7]Monatswerte!JF28/[7]Erwerbspersonen!$G29</f>
        <v>5.9384008220280995</v>
      </c>
      <c r="JG28" s="60">
        <f>100*[7]Monatswerte!JG28/[7]Erwerbspersonen!$G29</f>
        <v>6.0370453539554765</v>
      </c>
      <c r="JH28" s="3">
        <f>100*[7]Monatswerte!JH28/[7]Erwerbspersonen!$G29</f>
        <v>6.015522910625867</v>
      </c>
      <c r="JI28" s="3">
        <f>100*[7]Monatswerte!JI28/[7]Erwerbspersonen!$G29</f>
        <v>6.0011746150727943</v>
      </c>
    </row>
    <row r="29" spans="1:269" s="1" customFormat="1" x14ac:dyDescent="0.2">
      <c r="A29" s="1" t="s">
        <v>33</v>
      </c>
      <c r="B29" s="1">
        <v>22</v>
      </c>
      <c r="C29" s="21">
        <f>100*Monatswerte!C29/Erwerbspersonen!$B30</f>
        <v>4.8318462594371994</v>
      </c>
      <c r="D29" s="21">
        <f>100*Monatswerte!D29/Erwerbspersonen!$B30</f>
        <v>4.7357584076870278</v>
      </c>
      <c r="E29" s="21">
        <f>100*Monatswerte!E29/Erwerbspersonen!$B30</f>
        <v>4.6808510638297873</v>
      </c>
      <c r="F29" s="21">
        <f>100*Monatswerte!F29/Erwerbspersonen!$B30</f>
        <v>4.2964996568291012</v>
      </c>
      <c r="G29" s="21">
        <f>100*Monatswerte!G29/Erwerbspersonen!$B30</f>
        <v>4.0494166094715167</v>
      </c>
      <c r="H29" s="21">
        <f>100*Monatswerte!H29/Erwerbspersonen!$B30</f>
        <v>3.8846945778997939</v>
      </c>
      <c r="I29" s="21">
        <f>100*Monatswerte!I29/Erwerbspersonen!$B30</f>
        <v>3.9258750857927249</v>
      </c>
      <c r="J29" s="21">
        <f>100*Monatswerte!J29/Erwerbspersonen!$B30</f>
        <v>4.0356897735072064</v>
      </c>
      <c r="K29" s="21">
        <f>100*Monatswerte!K29/Erwerbspersonen!$B30</f>
        <v>3.9945092656142758</v>
      </c>
      <c r="L29" s="21">
        <f>100*Monatswerte!L29/Erwerbspersonen!$B30</f>
        <v>3.8846945778997939</v>
      </c>
      <c r="M29" s="21">
        <f>100*Monatswerte!M29/Erwerbspersonen!$B30</f>
        <v>4.1317776252573779</v>
      </c>
      <c r="N29" s="27">
        <f>100*Monatswerte!N29/Erwerbspersonen!$B30</f>
        <v>4.1866849691146193</v>
      </c>
      <c r="O29" s="21">
        <f>100*Monatswerte!O29/Erwerbspersonen!$B30</f>
        <v>4.0494166094715167</v>
      </c>
      <c r="P29" s="21">
        <f>100*Monatswerte!P29/Erwerbspersonen!$B30</f>
        <v>4.0494166094715167</v>
      </c>
      <c r="Q29" s="21">
        <f>100*Monatswerte!Q29/Erwerbspersonen!$B30</f>
        <v>4.021962937542896</v>
      </c>
      <c r="R29" s="21">
        <f>100*Monatswerte!R29/Erwerbspersonen!$B30</f>
        <v>3.9945092656142758</v>
      </c>
      <c r="S29" s="21">
        <f>100*Monatswerte!S29/Erwerbspersonen!$B30</f>
        <v>3.7886067261496224</v>
      </c>
      <c r="T29" s="21">
        <f>100*Monatswerte!T29/Erwerbspersonen!$B30</f>
        <v>3.7474262182566918</v>
      </c>
      <c r="U29" s="21">
        <f>100*Monatswerte!U29/Erwerbspersonen!$B30</f>
        <v>3.9807824296499659</v>
      </c>
      <c r="V29" s="21">
        <f>100*Monatswerte!V29/Erwerbspersonen!$B30</f>
        <v>4.1180507892930676</v>
      </c>
      <c r="W29" s="21">
        <f>100*Monatswerte!W29/Erwerbspersonen!$B30</f>
        <v>3.9396019217570348</v>
      </c>
      <c r="X29" s="21">
        <f>100*Monatswerte!X29/Erwerbspersonen!$B30</f>
        <v>3.9807824296499659</v>
      </c>
      <c r="Y29" s="21">
        <f>100*Monatswerte!Y29/Erwerbspersonen!$B30</f>
        <v>4.1455044612216883</v>
      </c>
      <c r="Z29" s="27">
        <f>100*Monatswerte!Z29/Erwerbspersonen!$B30</f>
        <v>4.0768702814001374</v>
      </c>
      <c r="AA29" s="21">
        <f>100*Monatswerte!AA29/Erwerbspersonen!$B30</f>
        <v>4.4749485243651339</v>
      </c>
      <c r="AB29" s="21">
        <f>100*Monatswerte!AB29/Erwerbspersonen!$B30</f>
        <v>4.4749485243651339</v>
      </c>
      <c r="AC29" s="21">
        <f>100*Monatswerte!AC29/Erwerbspersonen!$B30</f>
        <v>4.4200411805078925</v>
      </c>
      <c r="AD29" s="21">
        <f>100*Monatswerte!AD29/Erwerbspersonen!$B30</f>
        <v>4.2964996568291012</v>
      </c>
      <c r="AE29" s="21">
        <f>100*Monatswerte!AE29/Erwerbspersonen!$B30</f>
        <v>4.1866849691146193</v>
      </c>
      <c r="AF29" s="21">
        <f>100*Monatswerte!AF29/Erwerbspersonen!$B30</f>
        <v>3.9945092656142758</v>
      </c>
      <c r="AG29" s="21">
        <f>100*Monatswerte!AG29/Erwerbspersonen!$B30</f>
        <v>3.9121482498284146</v>
      </c>
      <c r="AH29" s="21">
        <f>100*Monatswerte!AH29/Erwerbspersonen!$B30</f>
        <v>3.6376115305422099</v>
      </c>
      <c r="AI29" s="21">
        <f>100*Monatswerte!AI29/Erwerbspersonen!$B30</f>
        <v>3.5415236787920383</v>
      </c>
      <c r="AJ29" s="21">
        <f>100*Monatswerte!AJ29/Erwerbspersonen!$B30</f>
        <v>3.568977350720659</v>
      </c>
      <c r="AK29" s="21">
        <f>100*Monatswerte!AK29/Erwerbspersonen!$B30</f>
        <v>3.6376115305422099</v>
      </c>
      <c r="AL29" s="27">
        <f>100*Monatswerte!AL29/Erwerbspersonen!$B30</f>
        <v>3.6925188743994508</v>
      </c>
      <c r="AM29" s="21">
        <f>100*Monatswerte!AM29/Erwerbspersonen!$B30</f>
        <v>3.7748798901853124</v>
      </c>
      <c r="AN29" s="21">
        <f>100*Monatswerte!AN29/Erwerbspersonen!$B30</f>
        <v>3.7748798901853124</v>
      </c>
      <c r="AO29" s="21">
        <f>100*Monatswerte!AO29/Erwerbspersonen!$B30</f>
        <v>3.5964310226492793</v>
      </c>
      <c r="AP29" s="21">
        <f>100*Monatswerte!AP29/Erwerbspersonen!$B30</f>
        <v>3.4591626630061771</v>
      </c>
      <c r="AQ29" s="21">
        <f>100*Monatswerte!AQ29/Erwerbspersonen!$B30</f>
        <v>3.4042553191489362</v>
      </c>
      <c r="AR29" s="21">
        <f>100*Monatswerte!AR29/Erwerbspersonen!$B30</f>
        <v>3.4728894989704875</v>
      </c>
      <c r="AS29" s="21">
        <f>100*Monatswerte!AS29/Erwerbspersonen!$B30</f>
        <v>3.4042553191489362</v>
      </c>
      <c r="AT29" s="21">
        <f>100*Monatswerte!AT29/Erwerbspersonen!$B30</f>
        <v>3.1708991077556625</v>
      </c>
      <c r="AU29" s="21">
        <f>100*Monatswerte!AU29/Erwerbspersonen!$B30</f>
        <v>2.9238160603980781</v>
      </c>
      <c r="AV29" s="21">
        <f>100*Monatswerte!AV29/Erwerbspersonen!$B30</f>
        <v>2.8277282086479065</v>
      </c>
      <c r="AW29" s="21">
        <f>100*Monatswerte!AW29/Erwerbspersonen!$B30</f>
        <v>2.8689087165408371</v>
      </c>
      <c r="AX29" s="27">
        <f>100*Monatswerte!AX29/Erwerbspersonen!$B30</f>
        <v>2.9649965682910091</v>
      </c>
      <c r="AY29" s="21">
        <f>100*Monatswerte!AY29/Erwerbspersonen!$C30</f>
        <v>3.1296979636463029</v>
      </c>
      <c r="AZ29" s="21">
        <f>100*Monatswerte!AZ29/Erwerbspersonen!$C30</f>
        <v>3.1023643569769033</v>
      </c>
      <c r="BA29" s="21">
        <f>100*Monatswerte!BA29/Erwerbspersonen!$C30</f>
        <v>3.0750307503075032</v>
      </c>
      <c r="BB29" s="21">
        <f>100*Monatswerte!BB29/Erwerbspersonen!$C30</f>
        <v>3.1160311603116031</v>
      </c>
      <c r="BC29" s="21">
        <f>100*Monatswerte!BC29/Erwerbspersonen!$C30</f>
        <v>3.0066967336340031</v>
      </c>
      <c r="BD29" s="21">
        <f>100*Monatswerte!BD29/Erwerbspersonen!$C30</f>
        <v>2.9246959136258028</v>
      </c>
      <c r="BE29" s="21">
        <f>100*Monatswerte!BE29/Erwerbspersonen!$C30</f>
        <v>2.911029110291103</v>
      </c>
      <c r="BF29" s="21">
        <f>100*Monatswerte!BF29/Erwerbspersonen!$C30</f>
        <v>2.8153614869482029</v>
      </c>
      <c r="BG29" s="21">
        <f>100*Monatswerte!BG29/Erwerbspersonen!$C30</f>
        <v>2.7060270602706029</v>
      </c>
      <c r="BH29" s="21">
        <f>100*Monatswerte!BH29/Erwerbspersonen!$C30</f>
        <v>2.6513598469318027</v>
      </c>
      <c r="BI29" s="21">
        <f>100*Monatswerte!BI29/Erwerbspersonen!$C30</f>
        <v>2.7333606669400026</v>
      </c>
      <c r="BJ29" s="27">
        <f>100*Monatswerte!BJ29/Erwerbspersonen!$C30</f>
        <v>3.1023643569769033</v>
      </c>
      <c r="BK29" s="21">
        <f>100*Monatswerte!BK29/Erwerbspersonen!$C30</f>
        <v>3.4030340303403035</v>
      </c>
      <c r="BL29" s="21">
        <f>100*Monatswerte!BL29/Erwerbspersonen!$C30</f>
        <v>3.895038950389504</v>
      </c>
      <c r="BM29" s="21">
        <f>100*Monatswerte!BM29/Erwerbspersonen!$C30</f>
        <v>4.4007106737734043</v>
      </c>
      <c r="BN29" s="21">
        <f>100*Monatswerte!BN29/Erwerbspersonen!$C30</f>
        <v>4.5100451004510047</v>
      </c>
      <c r="BO29" s="21">
        <f>100*Monatswerte!BO29/Erwerbspersonen!$C30</f>
        <v>4.9337160038267047</v>
      </c>
      <c r="BP29" s="21">
        <f>100*Monatswerte!BP29/Erwerbspersonen!$C30</f>
        <v>5.125051250512505</v>
      </c>
      <c r="BQ29" s="21">
        <f>100*Monatswerte!BQ29/Erwerbspersonen!$C30</f>
        <v>5.193385267186005</v>
      </c>
      <c r="BR29" s="21">
        <f>100*Monatswerte!BR29/Erwerbspersonen!$C30</f>
        <v>5.2343856771901054</v>
      </c>
      <c r="BS29" s="21">
        <f>100*Monatswerte!BS29/Erwerbspersonen!$C30</f>
        <v>5.1523848571819055</v>
      </c>
      <c r="BT29" s="21">
        <f>100*Monatswerte!BT29/Erwerbspersonen!$C30</f>
        <v>5.2480524805248052</v>
      </c>
      <c r="BU29" s="21">
        <f>100*Monatswerte!BU29/Erwerbspersonen!$C30</f>
        <v>5.4667213338800051</v>
      </c>
      <c r="BV29" s="27">
        <f>100*Monatswerte!BV29/Erwerbspersonen!$C30</f>
        <v>5.753724203908706</v>
      </c>
      <c r="BW29" s="21">
        <f>100*Monatswerte!BW29/Erwerbspersonen!$C30</f>
        <v>5.8630586305863055</v>
      </c>
      <c r="BX29" s="21">
        <f>100*Monatswerte!BX29/Erwerbspersonen!$C30</f>
        <v>5.7947246139128055</v>
      </c>
      <c r="BY29" s="21">
        <f>100*Monatswerte!BY29/Erwerbspersonen!$C30</f>
        <v>5.753724203908706</v>
      </c>
      <c r="BZ29" s="21">
        <f>100*Monatswerte!BZ29/Erwerbspersonen!$C30</f>
        <v>5.4667213338800051</v>
      </c>
      <c r="CA29" s="21">
        <f>100*Monatswerte!CA29/Erwerbspersonen!$C30</f>
        <v>5.2890528905289056</v>
      </c>
      <c r="CB29" s="21">
        <f>100*Monatswerte!CB29/Erwerbspersonen!$C30</f>
        <v>4.9337160038267047</v>
      </c>
      <c r="CC29" s="21">
        <f>100*Monatswerte!CC29/Erwerbspersonen!$C30</f>
        <v>4.5510455104551042</v>
      </c>
      <c r="CD29" s="21">
        <f>100*Monatswerte!CD29/Erwerbspersonen!$C30</f>
        <v>4.4280442804428048</v>
      </c>
      <c r="CE29" s="21">
        <f>100*Monatswerte!CE29/Erwerbspersonen!$C30</f>
        <v>4.2230422304223039</v>
      </c>
      <c r="CF29" s="21">
        <f>100*Monatswerte!CF29/Erwerbspersonen!$C30</f>
        <v>4.1820418204182044</v>
      </c>
      <c r="CG29" s="21">
        <f>100*Monatswerte!CG29/Erwerbspersonen!$C30</f>
        <v>3.9907065737324041</v>
      </c>
      <c r="CH29" s="27">
        <f>100*Monatswerte!CH29/Erwerbspersonen!$C30</f>
        <v>4.1273746070794042</v>
      </c>
      <c r="CI29" s="21">
        <f>100*Monatswerte!CI29/Erwerbspersonen!$C30</f>
        <v>4.1000410004100045</v>
      </c>
      <c r="CJ29" s="21">
        <f>100*Monatswerte!CJ29/Erwerbspersonen!$C30</f>
        <v>3.8677053437201039</v>
      </c>
      <c r="CK29" s="21">
        <f>100*Monatswerte!CK29/Erwerbspersonen!$C30</f>
        <v>3.7583709170425039</v>
      </c>
      <c r="CL29" s="21">
        <f>100*Monatswerte!CL29/Erwerbspersonen!$C30</f>
        <v>3.4440344403444034</v>
      </c>
      <c r="CM29" s="21">
        <f>100*Monatswerte!CM29/Erwerbspersonen!$C30</f>
        <v>3.1433647669810032</v>
      </c>
      <c r="CN29" s="21">
        <f>100*Monatswerte!CN29/Erwerbspersonen!$C30</f>
        <v>2.9930299302993029</v>
      </c>
      <c r="CO29" s="21">
        <f>100*Monatswerte!CO29/Erwerbspersonen!$C30</f>
        <v>2.8700287002870031</v>
      </c>
      <c r="CP29" s="21">
        <f>100*Monatswerte!CP29/Erwerbspersonen!$C30</f>
        <v>2.911029110291103</v>
      </c>
      <c r="CQ29" s="21">
        <f>100*Monatswerte!CQ29/Erwerbspersonen!$C30</f>
        <v>2.9383627169605031</v>
      </c>
      <c r="CR29" s="21">
        <f>100*Monatswerte!CR29/Erwerbspersonen!$C30</f>
        <v>3.0476971436381031</v>
      </c>
      <c r="CS29" s="21">
        <f>100*Monatswerte!CS29/Erwerbspersonen!$C30</f>
        <v>3.3347000136668035</v>
      </c>
      <c r="CT29" s="27">
        <f>100*Monatswerte!CT29/Erwerbspersonen!$C30</f>
        <v>3.6627032936996038</v>
      </c>
      <c r="CU29" s="21">
        <f>100*Monatswerte!CU29/Erwerbspersonen!$C30</f>
        <v>3.8540385403854041</v>
      </c>
      <c r="CV29" s="21">
        <f>100*Monatswerte!CV29/Erwerbspersonen!$C30</f>
        <v>3.9223725570589041</v>
      </c>
      <c r="CW29" s="21">
        <f>100*Monatswerte!CW29/Erwerbspersonen!$C30</f>
        <v>3.8677053437201039</v>
      </c>
      <c r="CX29" s="21">
        <f>100*Monatswerte!CX29/Erwerbspersonen!$C30</f>
        <v>3.5397020636873036</v>
      </c>
      <c r="CY29" s="21">
        <f>100*Monatswerte!CY29/Erwerbspersonen!$C30</f>
        <v>3.4987016536832036</v>
      </c>
      <c r="CZ29" s="21">
        <f>100*Monatswerte!CZ29/Erwerbspersonen!$C30</f>
        <v>3.2936996036627031</v>
      </c>
      <c r="DA29" s="21">
        <f>100*Monatswerte!DA29/Erwerbspersonen!$C30</f>
        <v>3.2663659969933034</v>
      </c>
      <c r="DB29" s="21">
        <f>100*Monatswerte!DB29/Erwerbspersonen!$C30</f>
        <v>3.4987016536832036</v>
      </c>
      <c r="DC29" s="21">
        <f>100*Monatswerte!DC29/Erwerbspersonen!$C30</f>
        <v>3.6490364903649035</v>
      </c>
      <c r="DD29" s="21">
        <f>100*Monatswerte!DD29/Erwerbspersonen!$C30</f>
        <v>3.8540385403854041</v>
      </c>
      <c r="DE29" s="21">
        <f>100*Monatswerte!DE29/Erwerbspersonen!$C30</f>
        <v>3.8813721470548037</v>
      </c>
      <c r="DF29" s="27">
        <f>100*Monatswerte!DF29/Erwerbspersonen!$C30</f>
        <v>4.1000410004100045</v>
      </c>
      <c r="DG29" s="21">
        <f>100*Monatswerte!DG29/Erwerbspersonen!$C30</f>
        <v>4.2640426404264042</v>
      </c>
      <c r="DH29" s="21">
        <f>100*Monatswerte!DH29/Erwerbspersonen!$C30</f>
        <v>4.1273746070794042</v>
      </c>
      <c r="DI29" s="21">
        <f>100*Monatswerte!DI29/Erwerbspersonen!$C30</f>
        <v>3.9087057537242038</v>
      </c>
      <c r="DJ29" s="21">
        <f>100*Monatswerte!DJ29/Erwerbspersonen!$C30</f>
        <v>3.895038950389504</v>
      </c>
      <c r="DK29" s="21">
        <f>100*Monatswerte!DK29/Erwerbspersonen!$C30</f>
        <v>3.7993713270466039</v>
      </c>
      <c r="DL29" s="21">
        <f>100*Monatswerte!DL29/Erwerbspersonen!$C30</f>
        <v>3.7720377203772038</v>
      </c>
      <c r="DM29" s="21">
        <f>100*Monatswerte!DM29/Erwerbspersonen!$C30</f>
        <v>4.0317069837365036</v>
      </c>
      <c r="DN29" s="21">
        <f>100*Monatswerte!DN29/Erwerbspersonen!$C30</f>
        <v>3.8540385403854041</v>
      </c>
      <c r="DO29" s="21">
        <f>100*Monatswerte!DO29/Erwerbspersonen!$C30</f>
        <v>3.7720377203772038</v>
      </c>
      <c r="DP29" s="21">
        <f>100*Monatswerte!DP29/Erwerbspersonen!$C30</f>
        <v>3.7720377203772038</v>
      </c>
      <c r="DQ29" s="21">
        <f>100*Monatswerte!DQ29/Erwerbspersonen!$C30</f>
        <v>3.8403717370507038</v>
      </c>
      <c r="DR29" s="27">
        <f>100*Monatswerte!DR29/Erwerbspersonen!$C30</f>
        <v>4.0863741970753038</v>
      </c>
      <c r="DS29" s="21">
        <f>100*Monatswerte!DS29/Erwerbspersonen!$D30</f>
        <v>3.9858182070002504</v>
      </c>
      <c r="DT29" s="21">
        <f>100*Monatswerte!DT29/Erwerbspersonen!$D30</f>
        <v>3.9066297658015698</v>
      </c>
      <c r="DU29" s="21">
        <f>100*Monatswerte!DU29/Erwerbspersonen!$D30</f>
        <v>3.7482528834042088</v>
      </c>
      <c r="DV29" s="21">
        <f>100*Monatswerte!DV29/Erwerbspersonen!$D30</f>
        <v>3.5898760010068478</v>
      </c>
      <c r="DW29" s="21">
        <f>100*Monatswerte!DW29/Erwerbspersonen!$D30</f>
        <v>3.5502817804075075</v>
      </c>
      <c r="DX29" s="21">
        <f>100*Monatswerte!DX29/Erwerbspersonen!$D30</f>
        <v>3.6162721480730746</v>
      </c>
      <c r="DY29" s="21">
        <f>100*Monatswerte!DY29/Erwerbspersonen!$D30</f>
        <v>3.4842914127419404</v>
      </c>
      <c r="DZ29" s="21">
        <f>100*Monatswerte!DZ29/Erwerbspersonen!$D30</f>
        <v>3.4051029715432604</v>
      </c>
      <c r="EA29" s="21">
        <f>100*Monatswerte!EA29/Erwerbspersonen!$D30</f>
        <v>3.3391126038776933</v>
      </c>
      <c r="EB29" s="21">
        <f>100*Monatswerte!EB29/Erwerbspersonen!$D30</f>
        <v>3.4446971921426006</v>
      </c>
      <c r="EC29" s="21">
        <f>100*Monatswerte!EC29/Erwerbspersonen!$D30</f>
        <v>3.5370837068743941</v>
      </c>
      <c r="ED29" s="21">
        <f>100*Monatswerte!ED29/Erwerbspersonen!$D30</f>
        <v>3.5238856333412807</v>
      </c>
      <c r="EE29" s="25">
        <f>100*Monatswerte!EE29/Erwerbspersonen!$D30</f>
        <v>3.3391126038776933</v>
      </c>
      <c r="EF29" s="21">
        <f>100*Monatswerte!EF29/Erwerbspersonen!$D30</f>
        <v>3.3127164568114664</v>
      </c>
      <c r="EG29" s="21">
        <f>100*Monatswerte!EG29/Erwerbspersonen!$D30</f>
        <v>3.5238856333412807</v>
      </c>
      <c r="EH29" s="21">
        <f>100*Monatswerte!EH29/Erwerbspersonen!$D30</f>
        <v>3.5766779274737344</v>
      </c>
      <c r="EI29" s="21">
        <f>100*Monatswerte!EI29/Erwerbspersonen!$D30</f>
        <v>3.3787068244770335</v>
      </c>
      <c r="EJ29" s="21">
        <f>100*Monatswerte!EJ29/Erwerbspersonen!$D30</f>
        <v>3.5238856333412807</v>
      </c>
      <c r="EK29" s="21">
        <f>100*Monatswerte!EK29/Erwerbspersonen!$D30</f>
        <v>3.5370837068743941</v>
      </c>
      <c r="EL29" s="21">
        <f>100*Monatswerte!EL29/Erwerbspersonen!$D30</f>
        <v>3.5370837068743941</v>
      </c>
      <c r="EM29" s="21">
        <f>100*Monatswerte!EM29/Erwerbspersonen!$D30</f>
        <v>3.5370837068743941</v>
      </c>
      <c r="EN29" s="21">
        <f>100*Monatswerte!EN29/Erwerbspersonen!$D30</f>
        <v>3.6426682951393015</v>
      </c>
      <c r="EO29" s="21">
        <f>100*Monatswerte!EO29/Erwerbspersonen!$D30</f>
        <v>3.8010451775366625</v>
      </c>
      <c r="EP29" s="21">
        <f>100*Monatswerte!EP29/Erwerbspersonen!$D30</f>
        <v>4.1441950893976109</v>
      </c>
      <c r="EQ29" s="25">
        <f>100*Monatswerte!EQ29/Erwerbspersonen!$D30</f>
        <v>4.302571971794972</v>
      </c>
      <c r="ER29" s="21">
        <f>100*Monatswerte!ER29/Erwerbspersonen!$D30</f>
        <v>4.3421661923943127</v>
      </c>
      <c r="ES29" s="21">
        <f>100*Monatswerte!ES29/Erwerbspersonen!$D30</f>
        <v>4.2101854570631785</v>
      </c>
      <c r="ET29" s="21">
        <f>100*Monatswerte!ET29/Erwerbspersonen!$D30</f>
        <v>4.2629777511956322</v>
      </c>
      <c r="EU29" s="21">
        <f>100*Monatswerte!EU29/Erwerbspersonen!$D30</f>
        <v>4.3157700453280858</v>
      </c>
      <c r="EV29" s="21">
        <f>100*Monatswerte!EV29/Erwerbspersonen!$D30</f>
        <v>4.2761758247287451</v>
      </c>
      <c r="EW29" s="21">
        <f>100*Monatswerte!EW29/Erwerbspersonen!$D30</f>
        <v>4.2761758247287451</v>
      </c>
      <c r="EX29" s="21">
        <f>100*Monatswerte!EX29/Erwerbspersonen!$D30</f>
        <v>4.5005430747916737</v>
      </c>
      <c r="EY29" s="21">
        <f>100*Monatswerte!EY29/Erwerbspersonen!$D30</f>
        <v>4.6589199571890338</v>
      </c>
      <c r="EZ29" s="21">
        <f>100*Monatswerte!EZ29/Erwerbspersonen!$D30</f>
        <v>4.7381083983877144</v>
      </c>
      <c r="FA29" s="21">
        <f>100*Monatswerte!FA29/Erwerbspersonen!$D30</f>
        <v>5.0020698690499827</v>
      </c>
      <c r="FB29" s="27">
        <f>100*Monatswerte!FB29/Erwerbspersonen!$D30</f>
        <v>4.8700891337188486</v>
      </c>
      <c r="FC29" s="21">
        <f>100*Monatswerte!FC29/Erwerbspersonen!$E30</f>
        <v>4.7372026859281169</v>
      </c>
      <c r="FD29" s="21">
        <f>100*Monatswerte!FD29/Erwerbspersonen!$E30</f>
        <v>4.8144396862421628</v>
      </c>
      <c r="FE29" s="21">
        <f>100*Monatswerte!FE29/Erwerbspersonen!$E30</f>
        <v>4.8530581863991848</v>
      </c>
      <c r="FF29" s="21">
        <f>100*Monatswerte!FF29/Erwerbspersonen!$E30</f>
        <v>4.505491684985981</v>
      </c>
      <c r="FG29" s="21">
        <f>100*Monatswerte!FG29/Erwerbspersonen!$E30</f>
        <v>4.376763351129239</v>
      </c>
      <c r="FH29" s="21">
        <f>100*Monatswerte!FH29/Erwerbspersonen!$E30</f>
        <v>4.1450523501871022</v>
      </c>
      <c r="FI29" s="21">
        <f>100*Monatswerte!FI29/Erwerbspersonen!$E30</f>
        <v>4.2480350172724961</v>
      </c>
      <c r="FJ29" s="21">
        <f>100*Monatswerte!FJ29/Erwerbspersonen!$E30</f>
        <v>4.1450523501871022</v>
      </c>
      <c r="FK29" s="21">
        <f>100*Monatswerte!FK29/Erwerbspersonen!$E30</f>
        <v>4.209416517115474</v>
      </c>
      <c r="FL29" s="21">
        <f>100*Monatswerte!FL29/Erwerbspersonen!$E30</f>
        <v>4.1707980169584511</v>
      </c>
      <c r="FM29" s="21">
        <f>100*Monatswerte!FM29/Erwerbspersonen!$E30</f>
        <v>4.1579251835727771</v>
      </c>
      <c r="FN29" s="21">
        <f>100*Monatswerte!FN29/Erwerbspersonen!$E30</f>
        <v>4.1965436837297991</v>
      </c>
      <c r="FO29" s="25">
        <f>100*Monatswerte!FO29/Erwerbspersonen!$E30</f>
        <v>4.2866535174295191</v>
      </c>
      <c r="FP29" s="21">
        <f>100*Monatswerte!FP29/Erwerbspersonen!$E30</f>
        <v>4.1707980169584511</v>
      </c>
      <c r="FQ29" s="21">
        <f>100*Monatswerte!FQ29/Erwerbspersonen!$E30</f>
        <v>4.0163240163303602</v>
      </c>
      <c r="FR29" s="21">
        <f>100*Monatswerte!FR29/Erwerbspersonen!$E30</f>
        <v>3.7202488484598528</v>
      </c>
      <c r="FS29" s="21">
        <f>100*Monatswerte!FS29/Erwerbspersonen!$E30</f>
        <v>3.4499193473606939</v>
      </c>
      <c r="FT29" s="21">
        <f>100*Monatswerte!FT29/Erwerbspersonen!$E30</f>
        <v>3.3726823470466485</v>
      </c>
      <c r="FU29" s="21">
        <f>100*Monatswerte!FU29/Erwerbspersonen!$E30</f>
        <v>3.4756650141320424</v>
      </c>
      <c r="FV29" s="21">
        <f>100*Monatswerte!FV29/Erwerbspersonen!$E30</f>
        <v>3.334063846889626</v>
      </c>
      <c r="FW29" s="21">
        <f>100*Monatswerte!FW29/Erwerbspersonen!$E30</f>
        <v>3.2439540131899065</v>
      </c>
      <c r="FX29" s="21">
        <f>100*Monatswerte!FX29/Erwerbspersonen!$E30</f>
        <v>3.2696996799612545</v>
      </c>
      <c r="FY29" s="21">
        <f>100*Monatswerte!FY29/Erwerbspersonen!$E30</f>
        <v>3.2568268465755805</v>
      </c>
      <c r="FZ29" s="21">
        <f>100*Monatswerte!FZ29/Erwerbspersonen!$E30</f>
        <v>3.4113008472036714</v>
      </c>
      <c r="GA29" s="25">
        <f>100*Monatswerte!GA29/Erwerbspersonen!$E30</f>
        <v>3.7202488484598528</v>
      </c>
      <c r="GB29" s="21">
        <f>100*Monatswerte!GB29/Erwerbspersonen!$E30</f>
        <v>3.5271563476747394</v>
      </c>
      <c r="GC29" s="21">
        <f>100*Monatswerte!GC29/Erwerbspersonen!$E30</f>
        <v>3.6301390147601333</v>
      </c>
      <c r="GD29" s="21">
        <f>100*Monatswerte!GD29/Erwerbspersonen!$E30</f>
        <v>3.5142835142890649</v>
      </c>
      <c r="GE29" s="21">
        <f>100*Monatswerte!GE29/Erwerbspersonen!$E30</f>
        <v>3.282572513346929</v>
      </c>
      <c r="GF29" s="21">
        <f>100*Monatswerte!GF29/Erwerbspersonen!$E30</f>
        <v>3.218208346418558</v>
      </c>
      <c r="GG29" s="21">
        <f>100*Monatswerte!GG29/Erwerbspersonen!$E30</f>
        <v>3.166717012875861</v>
      </c>
      <c r="GH29" s="21">
        <f>100*Monatswerte!GH29/Erwerbspersonen!$E30</f>
        <v>3.0894800125618156</v>
      </c>
      <c r="GI29" s="21">
        <f>100*Monatswerte!GI29/Erwerbspersonen!$E30</f>
        <v>3.2568268465755805</v>
      </c>
      <c r="GJ29" s="21">
        <f>100*Monatswerte!GJ29/Erwerbspersonen!$E30</f>
        <v>3.4370465139750199</v>
      </c>
      <c r="GK29" s="21">
        <f>100*Monatswerte!GK29/Erwerbspersonen!$E30</f>
        <v>3.4113008472036714</v>
      </c>
      <c r="GL29" s="21">
        <f>100*Monatswerte!GL29/Erwerbspersonen!$E30</f>
        <v>3.6430118481458074</v>
      </c>
      <c r="GM29" s="25">
        <f>100*Monatswerte!GM29/Erwerbspersonen!$F30</f>
        <v>3.7207117035369515</v>
      </c>
      <c r="GN29" s="21">
        <f>100*Monatswerte!GN29/Erwerbspersonen!$F30</f>
        <v>3.5195921519944138</v>
      </c>
      <c r="GO29" s="21">
        <f>100*Monatswerte!GO29/Erwerbspersonen!$F30</f>
        <v>3.6830017876227257</v>
      </c>
      <c r="GP29" s="21">
        <f>100*Monatswerte!GP29/Erwerbspersonen!$F30</f>
        <v>4.0349610028221674</v>
      </c>
      <c r="GQ29" s="21">
        <f>100*Monatswerte!GQ29/Erwerbspersonen!$F30</f>
        <v>4.0475309747935757</v>
      </c>
      <c r="GR29" s="21">
        <f>100*Monatswerte!GR29/Erwerbspersonen!$F30</f>
        <v>4.1983706384504789</v>
      </c>
      <c r="GS29" s="21">
        <f>100*Monatswerte!GS29/Erwerbspersonen!$F30</f>
        <v>4.5880397695641459</v>
      </c>
      <c r="GT29" s="21">
        <f>100*Monatswerte!GT29/Erwerbspersonen!$F30</f>
        <v>4.73887943322105</v>
      </c>
      <c r="GU29" s="21">
        <f>100*Monatswerte!GU29/Erwerbspersonen!$F30</f>
        <v>4.7011695173068242</v>
      </c>
      <c r="GV29" s="21">
        <f>100*Monatswerte!GV29/Erwerbspersonen!$F30</f>
        <v>4.6634596013925984</v>
      </c>
      <c r="GW29" s="21">
        <f>100*Monatswerte!GW29/Erwerbspersonen!$F30</f>
        <v>4.8645791529351357</v>
      </c>
      <c r="GX29" s="27">
        <f>100*Monatswerte!GX29/Erwerbspersonen!$F30</f>
        <v>5.0908386484204913</v>
      </c>
      <c r="GY29" s="21">
        <f>100*Monatswerte!GY29/Erwerbspersonen!$F30</f>
        <v>5.2039683961631686</v>
      </c>
      <c r="GZ29" s="21">
        <f>100*Monatswerte!GZ29/Erwerbspersonen!$F30</f>
        <v>5.1536885082775346</v>
      </c>
      <c r="HA29" s="21">
        <f>100*Monatswerte!HA29/Erwerbspersonen!$F30</f>
        <v>5.2291083401059861</v>
      </c>
      <c r="HB29" s="21">
        <f>100*Monatswerte!HB29/Erwerbspersonen!$F30</f>
        <v>5.1411185363061254</v>
      </c>
      <c r="HC29" s="21">
        <f>100*Monatswerte!HC29/Erwerbspersonen!$F30</f>
        <v>5.0154188165920397</v>
      </c>
      <c r="HD29" s="21">
        <f>100*Monatswerte!HD29/Erwerbspersonen!$F30</f>
        <v>5.1034086203918996</v>
      </c>
      <c r="HE29" s="21">
        <f>100*Monatswerte!HE29/Erwerbspersonen!$F30</f>
        <v>5.0154188165920397</v>
      </c>
      <c r="HF29" s="21">
        <f>100*Monatswerte!HF29/Erwerbspersonen!$F30</f>
        <v>4.7011695173068242</v>
      </c>
      <c r="HG29" s="21">
        <f>100*Monatswerte!HG29/Erwerbspersonen!$F30</f>
        <v>4.4874799937928778</v>
      </c>
      <c r="HH29" s="21">
        <f>100*Monatswerte!HH29/Erwerbspersonen!$F30</f>
        <v>4.4623400498500603</v>
      </c>
      <c r="HI29" s="21">
        <f>100*Monatswerte!HI29/Erwerbspersonen!$F30</f>
        <v>4.4874799937928778</v>
      </c>
      <c r="HJ29" s="21">
        <f>100*Monatswerte!HJ29/Erwerbspersonen!$F30</f>
        <v>4.5628998256213293</v>
      </c>
      <c r="HK29" s="60">
        <f>100*Monatswerte!HK29/Erwerbspersonen!$F30</f>
        <v>4.4372001059072428</v>
      </c>
      <c r="HL29" s="3">
        <f>100*Monatswerte!HL29/Erwerbspersonen!$F30</f>
        <v>4.4372001059072428</v>
      </c>
      <c r="HM29" s="3">
        <f>100*Monatswerte!HM29/Erwerbspersonen!$F30</f>
        <v>4.1606607225362531</v>
      </c>
      <c r="HN29" s="3">
        <f>100*Monatswerte!HN29/Erwerbspersonen!$F30</f>
        <v>3.9972510869079412</v>
      </c>
      <c r="HO29" s="3">
        <f>100*Monatswerte!HO29/Erwerbspersonen!$F30</f>
        <v>3.9092612831080809</v>
      </c>
      <c r="HP29" s="3">
        <f>100*Monatswerte!HP29/Erwerbspersonen!$F30</f>
        <v>3.770991591422586</v>
      </c>
      <c r="HQ29" s="3">
        <f>100*Monatswerte!HQ29/Erwerbspersonen!$F30</f>
        <v>3.507022180023005</v>
      </c>
      <c r="HR29" s="3">
        <f>100*Monatswerte!HR29/Erwerbspersonen!$F30</f>
        <v>3.4818822360801875</v>
      </c>
      <c r="HS29" s="3">
        <f>100*Monatswerte!HS29/Erwerbspersonen!$F30</f>
        <v>3.0922131049665205</v>
      </c>
      <c r="HT29" s="3">
        <f>100*Monatswerte!HT29/Erwerbspersonen!$F30</f>
        <v>3.142492992852155</v>
      </c>
      <c r="HU29" s="3">
        <f>100*Monatswerte!HU29/Erwerbspersonen!$F30</f>
        <v>3.3059026284804669</v>
      </c>
      <c r="HV29" s="64">
        <f>100*Monatswerte!HV29/Erwerbspersonen!$F30</f>
        <v>3.3184726004518756</v>
      </c>
      <c r="HW29" s="3">
        <f>100*[5]Monatswerte!HW29/[5]Erwerbspersonen!$F30</f>
        <v>3.3561825163661014</v>
      </c>
      <c r="HX29" s="3">
        <f>100*[5]Monatswerte!HX29/[5]Erwerbspersonen!$F30</f>
        <v>3.167632936794972</v>
      </c>
      <c r="HY29" s="3">
        <f>100*[5]Monatswerte!HY29/[5]Erwerbspersonen!$F30</f>
        <v>2.8659536094811653</v>
      </c>
      <c r="HZ29" s="3">
        <f>100*[5]Monatswerte!HZ29/[5]Erwerbspersonen!$F30</f>
        <v>2.7528238617384879</v>
      </c>
      <c r="IA29" s="3">
        <f>100*[5]Monatswerte!IA29/[5]Erwerbspersonen!$F30</f>
        <v>2.7653938337098962</v>
      </c>
      <c r="IB29" s="3">
        <f>100*[5]Monatswerte!IB29/[5]Erwerbspersonen!$F30</f>
        <v>2.9162334973667998</v>
      </c>
      <c r="IC29" s="3">
        <f>100*[5]Monatswerte!IC29/[5]Erwerbspersonen!$F30</f>
        <v>2.8031037496241225</v>
      </c>
      <c r="ID29" s="3">
        <f>100*[5]Monatswerte!ID29/[5]Erwerbspersonen!$F30</f>
        <v>2.8031037496241225</v>
      </c>
      <c r="IE29" s="3">
        <f>100*[5]Monatswerte!IE29/[5]Erwerbspersonen!$F30</f>
        <v>2.8910935534239828</v>
      </c>
      <c r="IF29" s="3">
        <f>100*[5]Monatswerte!IF29/[5]Erwerbspersonen!$F30</f>
        <v>3.0293632451094776</v>
      </c>
      <c r="IG29" s="3">
        <f>100*[5]Monatswerte!IG29/[5]Erwerbspersonen!$F30</f>
        <v>3.3184726004518756</v>
      </c>
      <c r="IH29" s="3">
        <f>100*[5]Monatswerte!IH29/[5]Erwerbspersonen!$F30</f>
        <v>3.3184726004518756</v>
      </c>
      <c r="II29" s="60">
        <f>100*[6]Monatswerte!II29/[6]Erwerbspersonen!$G30</f>
        <v>3.6511858320643227</v>
      </c>
      <c r="IJ29" s="3">
        <f>100*[6]Monatswerte!IJ29/[6]Erwerbspersonen!$G30</f>
        <v>3.5745875278951411</v>
      </c>
      <c r="IK29" s="3">
        <f>100*[6]Monatswerte!IK29/[6]Erwerbspersonen!$G30</f>
        <v>3.7150177522053074</v>
      </c>
      <c r="IL29" s="3">
        <f>100*[6]Monatswerte!IL29/[6]Erwerbspersonen!$G30</f>
        <v>3.6001202959515348</v>
      </c>
      <c r="IM29" s="3">
        <f>100*[6]Monatswerte!IM29/[6]Erwerbspersonen!$G30</f>
        <v>3.6001202959515348</v>
      </c>
      <c r="IN29" s="3">
        <f>100*[6]Monatswerte!IN29/[6]Erwerbspersonen!$G30</f>
        <v>3.6639522160925195</v>
      </c>
      <c r="IO29" s="3">
        <f>100*[6]Monatswerte!IO29/[6]Erwerbspersonen!$G30</f>
        <v>3.7150177522053074</v>
      </c>
      <c r="IP29" s="3">
        <f>100*[6]Monatswerte!IP29/[6]Erwerbspersonen!$G30</f>
        <v>3.7150177522053074</v>
      </c>
      <c r="IQ29" s="3">
        <f>100*[6]Monatswerte!IQ29/[6]Erwerbspersonen!$G30</f>
        <v>3.9320462806846552</v>
      </c>
      <c r="IR29" s="3">
        <f>100*[6]Monatswerte!IR29/[6]Erwerbspersonen!$G30</f>
        <v>3.8554479765154737</v>
      </c>
      <c r="IS29" s="3">
        <f>100*[6]Monatswerte!IS29/[6]Erwerbspersonen!$G30</f>
        <v>4.2256731133331842</v>
      </c>
      <c r="IT29" s="3">
        <f>100*[6]Monatswerte!IT29/[6]Erwerbspersonen!$G30</f>
        <v>4.4937671779253199</v>
      </c>
      <c r="IU29" s="60">
        <f>100*[7]Monatswerte!IU29/[7]Erwerbspersonen!$G30</f>
        <v>4.723562090432865</v>
      </c>
      <c r="IV29" s="3">
        <f>100*[7]Monatswerte!IV29/[7]Erwerbspersonen!$G30</f>
        <v>4.5958982501508956</v>
      </c>
      <c r="IW29" s="3">
        <f>100*[7]Monatswerte!IW29/[7]Erwerbspersonen!$G30</f>
        <v>4.6086646341790924</v>
      </c>
      <c r="IX29" s="3">
        <f>100*[7]Monatswerte!IX29/[7]Erwerbspersonen!$G30</f>
        <v>4.557599098066305</v>
      </c>
      <c r="IY29" s="3">
        <f>100*[7]Monatswerte!IY29/[7]Erwerbspersonen!$G30</f>
        <v>4.3788697216715473</v>
      </c>
      <c r="IZ29" s="3">
        <f>100*[7]Monatswerte!IZ29/[7]Erwerbspersonen!$G30</f>
        <v>4.4044024897279419</v>
      </c>
      <c r="JA29" s="3">
        <f>100*[7]Monatswerte!JA29/[7]Erwerbspersonen!$G30</f>
        <v>4.3278041855587599</v>
      </c>
      <c r="JB29" s="3">
        <f>100*[7]Monatswerte!JB29/[7]Erwerbspersonen!$G30</f>
        <v>4.4044024897279419</v>
      </c>
      <c r="JC29" s="3">
        <f>100*[7]Monatswerte!JC29/[7]Erwerbspersonen!$G30</f>
        <v>4.6086646341790924</v>
      </c>
      <c r="JD29" s="3">
        <f>100*[7]Monatswerte!JD29/[7]Erwerbspersonen!$G30</f>
        <v>4.812926778630243</v>
      </c>
      <c r="JE29" s="3">
        <f>100*[7]Monatswerte!JE29/[7]Erwerbspersonen!$G30</f>
        <v>4.9022914668276218</v>
      </c>
      <c r="JF29" s="3">
        <f>100*[7]Monatswerte!JF29/[7]Erwerbspersonen!$G30</f>
        <v>4.8256931626584407</v>
      </c>
      <c r="JG29" s="60">
        <f>100*[7]Monatswerte!JG29/[7]Erwerbspersonen!$G30</f>
        <v>4.889525082799425</v>
      </c>
      <c r="JH29" s="3">
        <f>100*[7]Monatswerte!JH29/[7]Erwerbspersonen!$G30</f>
        <v>4.9405906189122124</v>
      </c>
      <c r="JI29" s="3">
        <f>100*[7]Monatswerte!JI29/[7]Erwerbspersonen!$G30</f>
        <v>4.8512259307148344</v>
      </c>
    </row>
    <row r="30" spans="1:269" s="1" customFormat="1" x14ac:dyDescent="0.2">
      <c r="A30" s="1" t="s">
        <v>34</v>
      </c>
      <c r="B30" s="1">
        <v>23</v>
      </c>
      <c r="C30" s="21">
        <f>100*Monatswerte!C30/Erwerbspersonen!$B31</f>
        <v>3.3094219060823438</v>
      </c>
      <c r="D30" s="21">
        <f>100*Monatswerte!D30/Erwerbspersonen!$B31</f>
        <v>3.4420399059617819</v>
      </c>
      <c r="E30" s="21">
        <f>100*Monatswerte!E30/Erwerbspersonen!$B31</f>
        <v>3.4239556332509493</v>
      </c>
      <c r="F30" s="21">
        <f>100*Monatswerte!F30/Erwerbspersonen!$B31</f>
        <v>3.3998432696365062</v>
      </c>
      <c r="G30" s="21">
        <f>100*Monatswerte!G30/Erwerbspersonen!$B31</f>
        <v>3.4540960877690035</v>
      </c>
      <c r="H30" s="21">
        <f>100*Monatswerte!H30/Erwerbspersonen!$B31</f>
        <v>3.363674724214841</v>
      </c>
      <c r="I30" s="21">
        <f>100*Monatswerte!I30/Erwerbspersonen!$B31</f>
        <v>3.4058713605401167</v>
      </c>
      <c r="J30" s="21">
        <f>100*Monatswerte!J30/Erwerbspersonen!$B31</f>
        <v>3.5505455422267769</v>
      </c>
      <c r="K30" s="21">
        <f>100*Monatswerte!K30/Erwerbspersonen!$B31</f>
        <v>3.5204050877087227</v>
      </c>
      <c r="L30" s="21">
        <f>100*Monatswerte!L30/Erwerbspersonen!$B31</f>
        <v>3.5927421785520526</v>
      </c>
      <c r="M30" s="21">
        <f>100*Monatswerte!M30/Erwerbspersonen!$B31</f>
        <v>3.7072759057206581</v>
      </c>
      <c r="N30" s="27">
        <f>100*Monatswerte!N30/Erwerbspersonen!$B31</f>
        <v>3.8820905419253724</v>
      </c>
      <c r="O30" s="21">
        <f>100*Monatswerte!O30/Erwerbspersonen!$B31</f>
        <v>3.8760624510217614</v>
      </c>
      <c r="P30" s="21">
        <f>100*Monatswerte!P30/Erwerbspersonen!$B31</f>
        <v>3.8097534510820421</v>
      </c>
      <c r="Q30" s="21">
        <f>100*Monatswerte!Q30/Erwerbspersonen!$B31</f>
        <v>3.8579781783109288</v>
      </c>
      <c r="R30" s="21">
        <f>100*Monatswerte!R30/Erwerbspersonen!$B31</f>
        <v>3.7193320875278801</v>
      </c>
      <c r="S30" s="21">
        <f>100*Monatswerte!S30/Erwerbspersonen!$B31</f>
        <v>3.6289107239737177</v>
      </c>
      <c r="T30" s="21">
        <f>100*Monatswerte!T30/Erwerbspersonen!$B31</f>
        <v>3.6711073602989934</v>
      </c>
      <c r="U30" s="21">
        <f>100*Monatswerte!U30/Erwerbspersonen!$B31</f>
        <v>3.7072759057206581</v>
      </c>
      <c r="V30" s="21">
        <f>100*Monatswerte!V30/Erwerbspersonen!$B31</f>
        <v>3.8579781783109288</v>
      </c>
      <c r="W30" s="21">
        <f>100*Monatswerte!W30/Erwerbspersonen!$B31</f>
        <v>3.8398939056000962</v>
      </c>
      <c r="X30" s="21">
        <f>100*Monatswerte!X30/Erwerbspersonen!$B31</f>
        <v>3.7374163602387123</v>
      </c>
      <c r="Y30" s="21">
        <f>100*Monatswerte!Y30/Erwerbspersonen!$B31</f>
        <v>3.7012478148170476</v>
      </c>
      <c r="Z30" s="27">
        <f>100*Monatswerte!Z30/Erwerbspersonen!$B31</f>
        <v>3.8519500874073183</v>
      </c>
      <c r="AA30" s="21">
        <f>100*Monatswerte!AA30/Erwerbspersonen!$B31</f>
        <v>3.9182590873470371</v>
      </c>
      <c r="AB30" s="21">
        <f>100*Monatswerte!AB30/Erwerbspersonen!$B31</f>
        <v>3.9423714509614807</v>
      </c>
      <c r="AC30" s="21">
        <f>100*Monatswerte!AC30/Erwerbspersonen!$B31</f>
        <v>3.9483995418650912</v>
      </c>
      <c r="AD30" s="21">
        <f>100*Monatswerte!AD30/Erwerbspersonen!$B31</f>
        <v>3.6650792693953824</v>
      </c>
      <c r="AE30" s="21">
        <f>100*Monatswerte!AE30/Erwerbspersonen!$B31</f>
        <v>3.5204050877087227</v>
      </c>
      <c r="AF30" s="21">
        <f>100*Monatswerte!AF30/Erwerbspersonen!$B31</f>
        <v>3.4118994514437277</v>
      </c>
      <c r="AG30" s="21">
        <f>100*Monatswerte!AG30/Erwerbspersonen!$B31</f>
        <v>3.3275061787931763</v>
      </c>
      <c r="AH30" s="21">
        <f>100*Monatswerte!AH30/Erwerbspersonen!$B31</f>
        <v>3.1587196334920731</v>
      </c>
      <c r="AI30" s="21">
        <f>100*Monatswerte!AI30/Erwerbspersonen!$B31</f>
        <v>2.9296521791548615</v>
      </c>
      <c r="AJ30" s="21">
        <f>100*Monatswerte!AJ30/Erwerbspersonen!$B31</f>
        <v>2.8753993610223643</v>
      </c>
      <c r="AK30" s="21">
        <f>100*Monatswerte!AK30/Erwerbspersonen!$B31</f>
        <v>2.809090361082645</v>
      </c>
      <c r="AL30" s="27">
        <f>100*Monatswerte!AL30/Erwerbspersonen!$B31</f>
        <v>2.8271746337934776</v>
      </c>
      <c r="AM30" s="21">
        <f>100*Monatswerte!AM30/Erwerbspersonen!$B31</f>
        <v>2.8874555428295858</v>
      </c>
      <c r="AN30" s="21">
        <f>100*Monatswerte!AN30/Erwerbspersonen!$B31</f>
        <v>3.0080173609018024</v>
      </c>
      <c r="AO30" s="21">
        <f>100*Monatswerte!AO30/Erwerbspersonen!$B31</f>
        <v>2.8934836337331968</v>
      </c>
      <c r="AP30" s="21">
        <f>100*Monatswerte!AP30/Erwerbspersonen!$B31</f>
        <v>2.8332027246970886</v>
      </c>
      <c r="AQ30" s="21">
        <f>100*Monatswerte!AQ30/Erwerbspersonen!$B31</f>
        <v>2.7729218156609803</v>
      </c>
      <c r="AR30" s="21">
        <f>100*Monatswerte!AR30/Erwerbspersonen!$B31</f>
        <v>2.7427813611429261</v>
      </c>
      <c r="AS30" s="21">
        <f>100*Monatswerte!AS30/Erwerbspersonen!$B31</f>
        <v>2.7668937247573693</v>
      </c>
      <c r="AT30" s="21">
        <f>100*Monatswerte!AT30/Erwerbspersonen!$B31</f>
        <v>2.7186689975284826</v>
      </c>
      <c r="AU30" s="21">
        <f>100*Monatswerte!AU30/Erwerbspersonen!$B31</f>
        <v>2.598107179456266</v>
      </c>
      <c r="AV30" s="21">
        <f>100*Monatswerte!AV30/Erwerbspersonen!$B31</f>
        <v>2.604135270359877</v>
      </c>
      <c r="AW30" s="21">
        <f>100*Monatswerte!AW30/Erwerbspersonen!$B31</f>
        <v>2.7488094520465367</v>
      </c>
      <c r="AX30" s="27">
        <f>100*Monatswerte!AX30/Erwerbspersonen!$B31</f>
        <v>2.9718488154801372</v>
      </c>
      <c r="AY30" s="21">
        <f>100*Monatswerte!AY30/Erwerbspersonen!$C31</f>
        <v>2.6099053978853646</v>
      </c>
      <c r="AZ30" s="21">
        <f>100*Monatswerte!AZ30/Erwerbspersonen!$C31</f>
        <v>2.4485253199777408</v>
      </c>
      <c r="BA30" s="21">
        <f>100*Monatswerte!BA30/Erwerbspersonen!$C31</f>
        <v>2.353923205342237</v>
      </c>
      <c r="BB30" s="21">
        <f>100*Monatswerte!BB30/Erwerbspersonen!$C31</f>
        <v>2.337228714524207</v>
      </c>
      <c r="BC30" s="21">
        <f>100*Monatswerte!BC30/Erwerbspersonen!$C31</f>
        <v>2.2537562604340566</v>
      </c>
      <c r="BD30" s="21">
        <f>100*Monatswerte!BD30/Erwerbspersonen!$C31</f>
        <v>2.2036727879799667</v>
      </c>
      <c r="BE30" s="21">
        <f>100*Monatswerte!BE30/Erwerbspersonen!$C31</f>
        <v>2.2203672787979967</v>
      </c>
      <c r="BF30" s="21">
        <f>100*Monatswerte!BF30/Erwerbspersonen!$C31</f>
        <v>2.1257651641624928</v>
      </c>
      <c r="BG30" s="21">
        <f>100*Monatswerte!BG30/Erwerbspersonen!$C31</f>
        <v>2.2259321090706732</v>
      </c>
      <c r="BH30" s="21">
        <f>100*Monatswerte!BH30/Erwerbspersonen!$C31</f>
        <v>2.2704507512520866</v>
      </c>
      <c r="BI30" s="21">
        <f>100*Monatswerte!BI30/Erwerbspersonen!$C31</f>
        <v>2.320534223706177</v>
      </c>
      <c r="BJ30" s="27">
        <f>100*Monatswerte!BJ30/Erwerbspersonen!$C31</f>
        <v>2.4373956594323873</v>
      </c>
      <c r="BK30" s="21">
        <f>100*Monatswerte!BK30/Erwerbspersonen!$C31</f>
        <v>2.5653867557039511</v>
      </c>
      <c r="BL30" s="21">
        <f>100*Monatswerte!BL30/Erwerbspersonen!$C31</f>
        <v>2.6432943795214245</v>
      </c>
      <c r="BM30" s="21">
        <f>100*Monatswerte!BM30/Erwerbspersonen!$C31</f>
        <v>2.7879799666110183</v>
      </c>
      <c r="BN30" s="21">
        <f>100*Monatswerte!BN30/Erwerbspersonen!$C31</f>
        <v>2.8992765720645521</v>
      </c>
      <c r="BO30" s="21">
        <f>100*Monatswerte!BO30/Erwerbspersonen!$C31</f>
        <v>2.9938786867000555</v>
      </c>
      <c r="BP30" s="21">
        <f>100*Monatswerte!BP30/Erwerbspersonen!$C31</f>
        <v>3.1163049526989428</v>
      </c>
      <c r="BQ30" s="21">
        <f>100*Monatswerte!BQ30/Erwerbspersonen!$C31</f>
        <v>3.1329994435169728</v>
      </c>
      <c r="BR30" s="21">
        <f>100*Monatswerte!BR30/Erwerbspersonen!$C31</f>
        <v>3.1830829159710627</v>
      </c>
      <c r="BS30" s="21">
        <f>100*Monatswerte!BS30/Erwerbspersonen!$C31</f>
        <v>3.3778519755147469</v>
      </c>
      <c r="BT30" s="21">
        <f>100*Monatswerte!BT30/Erwerbspersonen!$C31</f>
        <v>3.3667223149693934</v>
      </c>
      <c r="BU30" s="21">
        <f>100*Monatswerte!BU30/Erwerbspersonen!$C31</f>
        <v>3.3667223149693934</v>
      </c>
      <c r="BV30" s="27">
        <f>100*Monatswerte!BV30/Erwerbspersonen!$C31</f>
        <v>3.33889816360601</v>
      </c>
      <c r="BW30" s="21">
        <f>100*Monatswerte!BW30/Erwerbspersonen!$C31</f>
        <v>3.2331663884251531</v>
      </c>
      <c r="BX30" s="21">
        <f>100*Monatswerte!BX30/Erwerbspersonen!$C31</f>
        <v>3.2109070673344462</v>
      </c>
      <c r="BY30" s="21">
        <f>100*Monatswerte!BY30/Erwerbspersonen!$C31</f>
        <v>3.1663884251530328</v>
      </c>
      <c r="BZ30" s="21">
        <f>100*Monatswerte!BZ30/Erwerbspersonen!$C31</f>
        <v>3.1886477462437397</v>
      </c>
      <c r="CA30" s="21">
        <f>100*Monatswerte!CA30/Erwerbspersonen!$C31</f>
        <v>3.1608235948803562</v>
      </c>
      <c r="CB30" s="21">
        <f>100*Monatswerte!CB30/Erwerbspersonen!$C31</f>
        <v>3.1329994435169728</v>
      </c>
      <c r="CC30" s="21">
        <f>100*Monatswerte!CC30/Erwerbspersonen!$C31</f>
        <v>3.1886477462437397</v>
      </c>
      <c r="CD30" s="21">
        <f>100*Monatswerte!CD30/Erwerbspersonen!$C31</f>
        <v>3.2053422370617697</v>
      </c>
      <c r="CE30" s="21">
        <f>100*Monatswerte!CE30/Erwerbspersonen!$C31</f>
        <v>3.2442960489705066</v>
      </c>
      <c r="CF30" s="21">
        <f>100*Monatswerte!CF30/Erwerbspersonen!$C31</f>
        <v>3.1608235948803562</v>
      </c>
      <c r="CG30" s="21">
        <f>100*Monatswerte!CG30/Erwerbspersonen!$C31</f>
        <v>3.2164718976071232</v>
      </c>
      <c r="CH30" s="27">
        <f>100*Monatswerte!CH30/Erwerbspersonen!$C31</f>
        <v>3.2609905397885366</v>
      </c>
      <c r="CI30" s="21">
        <f>100*Monatswerte!CI30/Erwerbspersonen!$C31</f>
        <v>3.1886477462437397</v>
      </c>
      <c r="CJ30" s="21">
        <f>100*Monatswerte!CJ30/Erwerbspersonen!$C31</f>
        <v>3.1496939343350028</v>
      </c>
      <c r="CK30" s="21">
        <f>100*Monatswerte!CK30/Erwerbspersonen!$C31</f>
        <v>3.0940456316082359</v>
      </c>
      <c r="CL30" s="21">
        <f>100*Monatswerte!CL30/Erwerbspersonen!$C31</f>
        <v>2.8658875904284917</v>
      </c>
      <c r="CM30" s="21">
        <f>100*Monatswerte!CM30/Erwerbspersonen!$C31</f>
        <v>2.8102392877017253</v>
      </c>
      <c r="CN30" s="21">
        <f>100*Monatswerte!CN30/Erwerbspersonen!$C31</f>
        <v>2.7545909849749584</v>
      </c>
      <c r="CO30" s="21">
        <f>100*Monatswerte!CO30/Erwerbspersonen!$C31</f>
        <v>2.7156371730662214</v>
      </c>
      <c r="CP30" s="21">
        <f>100*Monatswerte!CP30/Erwerbspersonen!$C31</f>
        <v>2.5319977740678907</v>
      </c>
      <c r="CQ30" s="21">
        <f>100*Monatswerte!CQ30/Erwerbspersonen!$C31</f>
        <v>2.5709515859766277</v>
      </c>
      <c r="CR30" s="21">
        <f>100*Monatswerte!CR30/Erwerbspersonen!$C31</f>
        <v>2.5709515859766277</v>
      </c>
      <c r="CS30" s="21">
        <f>100*Monatswerte!CS30/Erwerbspersonen!$C31</f>
        <v>2.654424040066778</v>
      </c>
      <c r="CT30" s="27">
        <f>100*Monatswerte!CT30/Erwerbspersonen!$C31</f>
        <v>2.8213689482470783</v>
      </c>
      <c r="CU30" s="21">
        <f>100*Monatswerte!CU30/Erwerbspersonen!$C31</f>
        <v>2.8436282693377852</v>
      </c>
      <c r="CV30" s="21">
        <f>100*Monatswerte!CV30/Erwerbspersonen!$C31</f>
        <v>2.8213689482470783</v>
      </c>
      <c r="CW30" s="21">
        <f>100*Monatswerte!CW30/Erwerbspersonen!$C31</f>
        <v>2.7601558152476349</v>
      </c>
      <c r="CX30" s="21">
        <f>100*Monatswerte!CX30/Erwerbspersonen!$C31</f>
        <v>2.8046744574290483</v>
      </c>
      <c r="CY30" s="21">
        <f>100*Monatswerte!CY30/Erwerbspersonen!$C31</f>
        <v>2.7434613244296049</v>
      </c>
      <c r="CZ30" s="21">
        <f>100*Monatswerte!CZ30/Erwerbspersonen!$C31</f>
        <v>2.671118530884808</v>
      </c>
      <c r="DA30" s="21">
        <f>100*Monatswerte!DA30/Erwerbspersonen!$C31</f>
        <v>2.7601558152476349</v>
      </c>
      <c r="DB30" s="21">
        <f>100*Monatswerte!DB30/Erwerbspersonen!$C31</f>
        <v>2.8269337785197552</v>
      </c>
      <c r="DC30" s="21">
        <f>100*Monatswerte!DC30/Erwerbspersonen!$C31</f>
        <v>2.8046744574290483</v>
      </c>
      <c r="DD30" s="21">
        <f>100*Monatswerte!DD30/Erwerbspersonen!$C31</f>
        <v>2.8603227601558152</v>
      </c>
      <c r="DE30" s="21">
        <f>100*Monatswerte!DE30/Erwerbspersonen!$C31</f>
        <v>3.0940456316082359</v>
      </c>
      <c r="DF30" s="27">
        <f>100*Monatswerte!DF30/Erwerbspersonen!$C31</f>
        <v>3.2721202003338896</v>
      </c>
      <c r="DG30" s="21">
        <f>100*Monatswerte!DG30/Erwerbspersonen!$C31</f>
        <v>3.3611574846967169</v>
      </c>
      <c r="DH30" s="21">
        <f>100*Monatswerte!DH30/Erwerbspersonen!$C31</f>
        <v>3.2721202003338896</v>
      </c>
      <c r="DI30" s="21">
        <f>100*Monatswerte!DI30/Erwerbspersonen!$C31</f>
        <v>3.1441291040623263</v>
      </c>
      <c r="DJ30" s="21">
        <f>100*Monatswerte!DJ30/Erwerbspersonen!$C31</f>
        <v>2.988313856427379</v>
      </c>
      <c r="DK30" s="21">
        <f>100*Monatswerte!DK30/Erwerbspersonen!$C31</f>
        <v>2.8380634390651087</v>
      </c>
      <c r="DL30" s="21">
        <f>100*Monatswerte!DL30/Erwerbspersonen!$C31</f>
        <v>2.6933778519755149</v>
      </c>
      <c r="DM30" s="21">
        <f>100*Monatswerte!DM30/Erwerbspersonen!$C31</f>
        <v>2.7545909849749584</v>
      </c>
      <c r="DN30" s="21">
        <f>100*Monatswerte!DN30/Erwerbspersonen!$C31</f>
        <v>2.637729549248748</v>
      </c>
      <c r="DO30" s="21">
        <f>100*Monatswerte!DO30/Erwerbspersonen!$C31</f>
        <v>2.687813021702838</v>
      </c>
      <c r="DP30" s="21">
        <f>100*Monatswerte!DP30/Erwerbspersonen!$C31</f>
        <v>2.7879799666110183</v>
      </c>
      <c r="DQ30" s="21">
        <f>100*Monatswerte!DQ30/Erwerbspersonen!$C31</f>
        <v>2.7434613244296049</v>
      </c>
      <c r="DR30" s="27">
        <f>100*Monatswerte!DR30/Erwerbspersonen!$C31</f>
        <v>2.7601558152476349</v>
      </c>
      <c r="DS30" s="21">
        <f>100*Monatswerte!DS30/Erwerbspersonen!$D31</f>
        <v>2.8145034178283481</v>
      </c>
      <c r="DT30" s="21">
        <f>100*Monatswerte!DT30/Erwerbspersonen!$D31</f>
        <v>2.8699070284155206</v>
      </c>
      <c r="DU30" s="21">
        <f>100*Monatswerte!DU30/Erwerbspersonen!$D31</f>
        <v>2.9862546106485821</v>
      </c>
      <c r="DV30" s="21">
        <f>100*Monatswerte!DV30/Erwerbspersonen!$D31</f>
        <v>2.9086895558265411</v>
      </c>
      <c r="DW30" s="21">
        <f>100*Monatswerte!DW30/Erwerbspersonen!$D31</f>
        <v>2.8532859452393686</v>
      </c>
      <c r="DX30" s="21">
        <f>100*Monatswerte!DX30/Erwerbspersonen!$D31</f>
        <v>2.8976088337091066</v>
      </c>
      <c r="DY30" s="21">
        <f>100*Monatswerte!DY30/Erwerbspersonen!$D31</f>
        <v>3.0028756938247336</v>
      </c>
      <c r="DZ30" s="21">
        <f>100*Monatswerte!DZ30/Erwerbspersonen!$D31</f>
        <v>2.8588263062980861</v>
      </c>
      <c r="EA30" s="21">
        <f>100*Monatswerte!EA30/Erwerbspersonen!$D31</f>
        <v>2.8920684726503896</v>
      </c>
      <c r="EB30" s="21">
        <f>100*Monatswerte!EB30/Erwerbspersonen!$D31</f>
        <v>2.8255841399457826</v>
      </c>
      <c r="EC30" s="21">
        <f>100*Monatswerte!EC30/Erwerbspersonen!$D31</f>
        <v>2.8366648620632171</v>
      </c>
      <c r="ED30" s="21">
        <f>100*Monatswerte!ED30/Erwerbspersonen!$D31</f>
        <v>2.9973353327660166</v>
      </c>
      <c r="EE30" s="25">
        <f>100*Monatswerte!EE30/Erwerbspersonen!$D31</f>
        <v>3.0859811097054921</v>
      </c>
      <c r="EF30" s="21">
        <f>100*Monatswerte!EF30/Erwerbspersonen!$D31</f>
        <v>3.0915214707642091</v>
      </c>
      <c r="EG30" s="21">
        <f>100*Monatswerte!EG30/Erwerbspersonen!$D31</f>
        <v>3.1081425539403611</v>
      </c>
      <c r="EH30" s="21">
        <f>100*Monatswerte!EH30/Erwerbspersonen!$D31</f>
        <v>3.2023286919385536</v>
      </c>
      <c r="EI30" s="21">
        <f>100*Monatswerte!EI30/Erwerbspersonen!$D31</f>
        <v>3.1247636371165126</v>
      </c>
      <c r="EJ30" s="21">
        <f>100*Monatswerte!EJ30/Erwerbspersonen!$D31</f>
        <v>3.1524654424100986</v>
      </c>
      <c r="EK30" s="21">
        <f>100*Monatswerte!EK30/Erwerbspersonen!$D31</f>
        <v>3.1912479698211191</v>
      </c>
      <c r="EL30" s="21">
        <f>100*Monatswerte!EL30/Erwerbspersonen!$D31</f>
        <v>3.3463780794652016</v>
      </c>
      <c r="EM30" s="21">
        <f>100*Monatswerte!EM30/Erwerbspersonen!$D31</f>
        <v>3.3352973573477671</v>
      </c>
      <c r="EN30" s="21">
        <f>100*Monatswerte!EN30/Erwerbspersonen!$D31</f>
        <v>3.4848871059331321</v>
      </c>
      <c r="EO30" s="21">
        <f>100*Monatswerte!EO30/Erwerbspersonen!$D31</f>
        <v>3.7619051588689931</v>
      </c>
      <c r="EP30" s="21">
        <f>100*Monatswerte!EP30/Erwerbspersonen!$D31</f>
        <v>3.8948738242782062</v>
      </c>
      <c r="EQ30" s="25">
        <f>100*Monatswerte!EQ30/Erwerbspersonen!$D31</f>
        <v>3.8006876862800136</v>
      </c>
      <c r="ER30" s="21">
        <f>100*Monatswerte!ER30/Erwerbspersonen!$D31</f>
        <v>3.8893334632194891</v>
      </c>
      <c r="ES30" s="21">
        <f>100*Monatswerte!ES30/Erwerbspersonen!$D31</f>
        <v>3.8560912968671857</v>
      </c>
      <c r="ET30" s="21">
        <f>100*Monatswerte!ET30/Erwerbspersonen!$D31</f>
        <v>3.7508244367515586</v>
      </c>
      <c r="EU30" s="21">
        <f>100*Monatswerte!EU30/Erwerbspersonen!$D31</f>
        <v>3.7674455199277102</v>
      </c>
      <c r="EV30" s="21">
        <f>100*Monatswerte!EV30/Erwerbspersonen!$D31</f>
        <v>3.7840666031038621</v>
      </c>
      <c r="EW30" s="21">
        <f>100*Monatswerte!EW30/Erwerbspersonen!$D31</f>
        <v>3.8283894915735996</v>
      </c>
      <c r="EX30" s="21">
        <f>100*Monatswerte!EX30/Erwerbspersonen!$D31</f>
        <v>3.8062280473387307</v>
      </c>
      <c r="EY30" s="21">
        <f>100*Monatswerte!EY30/Erwerbspersonen!$D31</f>
        <v>3.6843401040469521</v>
      </c>
      <c r="EZ30" s="21">
        <f>100*Monatswerte!EZ30/Erwerbspersonen!$D31</f>
        <v>3.6787997429882346</v>
      </c>
      <c r="FA30" s="21">
        <f>100*Monatswerte!FA30/Erwerbspersonen!$D31</f>
        <v>3.8117684083974481</v>
      </c>
      <c r="FB30" s="27">
        <f>100*Monatswerte!FB30/Erwerbspersonen!$D31</f>
        <v>4.0223021286287022</v>
      </c>
      <c r="FC30" s="21">
        <f>100*Monatswerte!FC30/Erwerbspersonen!$E31</f>
        <v>3.6151455709496845</v>
      </c>
      <c r="FD30" s="21">
        <f>100*Monatswerte!FD30/Erwerbspersonen!$E31</f>
        <v>3.666134930201443</v>
      </c>
      <c r="FE30" s="21">
        <f>100*Monatswerte!FE30/Erwerbspersonen!$E31</f>
        <v>3.5488594039223984</v>
      </c>
      <c r="FF30" s="21">
        <f>100*Monatswerte!FF30/Erwerbspersonen!$E31</f>
        <v>3.4876721728202882</v>
      </c>
      <c r="FG30" s="21">
        <f>100*Monatswerte!FG30/Erwerbspersonen!$E31</f>
        <v>3.4825732368951123</v>
      </c>
      <c r="FH30" s="21">
        <f>100*Monatswerte!FH30/Erwerbspersonen!$E31</f>
        <v>3.3347040950650122</v>
      </c>
      <c r="FI30" s="21">
        <f>100*Monatswerte!FI30/Erwerbspersonen!$E31</f>
        <v>3.4162870698678258</v>
      </c>
      <c r="FJ30" s="21">
        <f>100*Monatswerte!FJ30/Erwerbspersonen!$E31</f>
        <v>3.2582200561873744</v>
      </c>
      <c r="FK30" s="21">
        <f>100*Monatswerte!FK30/Erwerbspersonen!$E31</f>
        <v>3.2225275047111435</v>
      </c>
      <c r="FL30" s="21">
        <f>100*Monatswerte!FL30/Erwerbspersonen!$E31</f>
        <v>3.156241337683857</v>
      </c>
      <c r="FM30" s="21">
        <f>100*Monatswerte!FM30/Erwerbspersonen!$E31</f>
        <v>3.2174285687859676</v>
      </c>
      <c r="FN30" s="21">
        <f>100*Monatswerte!FN30/Erwerbspersonen!$E31</f>
        <v>3.2888136717384295</v>
      </c>
      <c r="FO30" s="25">
        <f>100*Monatswerte!FO30/Erwerbspersonen!$E31</f>
        <v>3.4060891980174741</v>
      </c>
      <c r="FP30" s="21">
        <f>100*Monatswerte!FP30/Erwerbspersonen!$E31</f>
        <v>3.4009902620922983</v>
      </c>
      <c r="FQ30" s="21">
        <f>100*Monatswerte!FQ30/Erwerbspersonen!$E31</f>
        <v>3.3041104795139571</v>
      </c>
      <c r="FR30" s="21">
        <f>100*Monatswerte!FR30/Erwerbspersonen!$E31</f>
        <v>3.2939126076636054</v>
      </c>
      <c r="FS30" s="21">
        <f>100*Monatswerte!FS30/Erwerbspersonen!$E31</f>
        <v>3.1409445299083294</v>
      </c>
      <c r="FT30" s="21">
        <f>100*Monatswerte!FT30/Erwerbspersonen!$E31</f>
        <v>3.0950541065817467</v>
      </c>
      <c r="FU30" s="21">
        <f>100*Monatswerte!FU30/Erwerbspersonen!$E31</f>
        <v>3.1409445299083294</v>
      </c>
      <c r="FV30" s="21">
        <f>100*Monatswerte!FV30/Erwerbspersonen!$E31</f>
        <v>3.1307466580579777</v>
      </c>
      <c r="FW30" s="21">
        <f>100*Monatswerte!FW30/Erwerbspersonen!$E31</f>
        <v>3.0287679395544607</v>
      </c>
      <c r="FX30" s="21">
        <f>100*Monatswerte!FX30/Erwerbspersonen!$E31</f>
        <v>2.9777785803027021</v>
      </c>
      <c r="FY30" s="21">
        <f>100*Monatswerte!FY30/Erwerbspersonen!$E31</f>
        <v>2.9675807084523504</v>
      </c>
      <c r="FZ30" s="21">
        <f>100*Monatswerte!FZ30/Erwerbspersonen!$E31</f>
        <v>2.9726796443775263</v>
      </c>
      <c r="GA30" s="25">
        <f>100*Monatswerte!GA30/Erwerbspersonen!$E31</f>
        <v>3.018570067704109</v>
      </c>
      <c r="GB30" s="21">
        <f>100*Monatswerte!GB30/Erwerbspersonen!$E31</f>
        <v>3.0593615551055158</v>
      </c>
      <c r="GC30" s="21">
        <f>100*Monatswerte!GC30/Erwerbspersonen!$E31</f>
        <v>2.8197115666222503</v>
      </c>
      <c r="GD30" s="21">
        <f>100*Monatswerte!GD30/Erwerbspersonen!$E31</f>
        <v>2.7177328481187333</v>
      </c>
      <c r="GE30" s="21">
        <f>100*Monatswerte!GE30/Erwerbspersonen!$E31</f>
        <v>2.6259520014655675</v>
      </c>
      <c r="GF30" s="21">
        <f>100*Monatswerte!GF30/Erwerbspersonen!$E31</f>
        <v>2.6412488092410951</v>
      </c>
      <c r="GG30" s="21">
        <f>100*Monatswerte!GG30/Erwerbspersonen!$E31</f>
        <v>2.6871392325676782</v>
      </c>
      <c r="GH30" s="21">
        <f>100*Monatswerte!GH30/Erwerbspersonen!$E31</f>
        <v>2.5494679625879297</v>
      </c>
      <c r="GI30" s="21">
        <f>100*Monatswerte!GI30/Erwerbspersonen!$E31</f>
        <v>2.5851605140641607</v>
      </c>
      <c r="GJ30" s="21">
        <f>100*Monatswerte!GJ30/Erwerbspersonen!$E31</f>
        <v>2.6208530655403917</v>
      </c>
      <c r="GK30" s="21">
        <f>100*Monatswerte!GK30/Erwerbspersonen!$E31</f>
        <v>2.7891179510711952</v>
      </c>
      <c r="GL30" s="21">
        <f>100*Monatswerte!GL30/Erwerbspersonen!$E31</f>
        <v>3.0134711317789331</v>
      </c>
      <c r="GM30" s="25">
        <f>100*Monatswerte!GM30/Erwerbspersonen!$F31</f>
        <v>3.3232502955486529</v>
      </c>
      <c r="GN30" s="21">
        <f>100*Monatswerte!GN30/Erwerbspersonen!$F31</f>
        <v>3.1509747785553284</v>
      </c>
      <c r="GO30" s="21">
        <f>100*Monatswerte!GO30/Erwerbspersonen!$F31</f>
        <v>3.4510676146082164</v>
      </c>
      <c r="GP30" s="21">
        <f>100*Monatswerte!GP30/Erwerbspersonen!$F31</f>
        <v>3.7900613738531459</v>
      </c>
      <c r="GQ30" s="21">
        <f>100*Monatswerte!GQ30/Erwerbspersonen!$F31</f>
        <v>4.012352363521952</v>
      </c>
      <c r="GR30" s="21">
        <f>100*Monatswerte!GR30/Erwerbspersonen!$F31</f>
        <v>3.973451440329911</v>
      </c>
      <c r="GS30" s="21">
        <f>100*Monatswerte!GS30/Erwerbspersonen!$F31</f>
        <v>4.0234669130053922</v>
      </c>
      <c r="GT30" s="21">
        <f>100*Monatswerte!GT30/Erwerbspersonen!$F31</f>
        <v>4.012352363521952</v>
      </c>
      <c r="GU30" s="21">
        <f>100*Monatswerte!GU30/Erwerbspersonen!$F31</f>
        <v>3.9956805392967918</v>
      </c>
      <c r="GV30" s="21">
        <f>100*Monatswerte!GV30/Erwerbspersonen!$F31</f>
        <v>4.1234978583563553</v>
      </c>
      <c r="GW30" s="21">
        <f>100*Monatswerte!GW30/Erwerbspersonen!$F31</f>
        <v>4.2846588258662397</v>
      </c>
      <c r="GX30" s="27">
        <f>100*Monatswerte!GX30/Erwerbspersonen!$F31</f>
        <v>4.4513770681178446</v>
      </c>
      <c r="GY30" s="21">
        <f>100*Monatswerte!GY30/Erwerbspersonen!$F31</f>
        <v>4.5069498155350463</v>
      </c>
      <c r="GZ30" s="21">
        <f>100*Monatswerte!GZ30/Erwerbspersonen!$F31</f>
        <v>4.4458197933761241</v>
      </c>
      <c r="HA30" s="21">
        <f>100*Monatswerte!HA30/Erwerbspersonen!$F31</f>
        <v>4.3680179469920422</v>
      </c>
      <c r="HB30" s="21">
        <f>100*Monatswerte!HB30/Erwerbspersonen!$F31</f>
        <v>4.2457579026741987</v>
      </c>
      <c r="HC30" s="21">
        <f>100*Monatswerte!HC30/Erwerbspersonen!$F31</f>
        <v>4.1735133310318364</v>
      </c>
      <c r="HD30" s="21">
        <f>100*Monatswerte!HD30/Erwerbspersonen!$F31</f>
        <v>4.0845969351643143</v>
      </c>
      <c r="HE30" s="21">
        <f>100*Monatswerte!HE30/Erwerbspersonen!$F31</f>
        <v>4.0012378140385119</v>
      </c>
      <c r="HF30" s="21">
        <f>100*Monatswerte!HF30/Erwerbspersonen!$F31</f>
        <v>3.8122904728200266</v>
      </c>
      <c r="HG30" s="21">
        <f>100*Monatswerte!HG30/Erwerbspersonen!$F31</f>
        <v>3.6622440547935824</v>
      </c>
      <c r="HH30" s="21">
        <f>100*Monatswerte!HH30/Erwerbspersonen!$F31</f>
        <v>3.5177549115088587</v>
      </c>
      <c r="HI30" s="21">
        <f>100*Monatswerte!HI30/Erwerbspersonen!$F31</f>
        <v>3.6066713073763808</v>
      </c>
      <c r="HJ30" s="21">
        <f>100*Monatswerte!HJ30/Erwerbspersonen!$F31</f>
        <v>3.7233740769525041</v>
      </c>
      <c r="HK30" s="60">
        <f>100*Monatswerte!HK30/Erwerbspersonen!$F31</f>
        <v>3.6455722305684222</v>
      </c>
      <c r="HL30" s="3">
        <f>100*Monatswerte!HL30/Erwerbspersonen!$F31</f>
        <v>3.6122285821181013</v>
      </c>
      <c r="HM30" s="3">
        <f>100*Monatswerte!HM30/Erwerbspersonen!$F31</f>
        <v>3.545541285217459</v>
      </c>
      <c r="HN30" s="3">
        <f>100*Monatswerte!HN30/Erwerbspersonen!$F31</f>
        <v>3.2621202733897312</v>
      </c>
      <c r="HO30" s="3">
        <f>100*Monatswerte!HO30/Erwerbspersonen!$F31</f>
        <v>3.1676466027804886</v>
      </c>
      <c r="HP30" s="3">
        <f>100*Monatswerte!HP30/Erwerbspersonen!$F31</f>
        <v>3.0398292837209251</v>
      </c>
      <c r="HQ30" s="3">
        <f>100*Monatswerte!HQ30/Erwerbspersonen!$F31</f>
        <v>3.0453865584626452</v>
      </c>
      <c r="HR30" s="3">
        <f>100*Monatswerte!HR30/Erwerbspersonen!$F31</f>
        <v>2.9064546899196415</v>
      </c>
      <c r="HS30" s="3">
        <f>100*Monatswerte!HS30/Erwerbspersonen!$F31</f>
        <v>2.7564082718931973</v>
      </c>
      <c r="HT30" s="3">
        <f>100*Monatswerte!HT30/Erwerbspersonen!$F31</f>
        <v>2.6952782497342755</v>
      </c>
      <c r="HU30" s="3">
        <f>100*Monatswerte!HU30/Erwerbspersonen!$F31</f>
        <v>2.6397055023170739</v>
      </c>
      <c r="HV30" s="64">
        <f>100*Monatswerte!HV30/Erwerbspersonen!$F31</f>
        <v>2.6674918760256747</v>
      </c>
      <c r="HW30" s="3">
        <f>100*[5]Monatswerte!HW30/[5]Erwerbspersonen!$F31</f>
        <v>2.6174764033501932</v>
      </c>
      <c r="HX30" s="3">
        <f>100*[5]Monatswerte!HX30/[5]Erwerbspersonen!$F31</f>
        <v>2.6285909528336338</v>
      </c>
      <c r="HY30" s="3">
        <f>100*[5]Monatswerte!HY30/[5]Erwerbspersonen!$F31</f>
        <v>2.5896900296415923</v>
      </c>
      <c r="HZ30" s="3">
        <f>100*[5]Monatswerte!HZ30/[5]Erwerbspersonen!$F31</f>
        <v>2.4729872600654694</v>
      </c>
      <c r="IA30" s="3">
        <f>100*[5]Monatswerte!IA30/[5]Erwerbspersonen!$F31</f>
        <v>2.4229717873899879</v>
      </c>
      <c r="IB30" s="3">
        <f>100*[5]Monatswerte!IB30/[5]Erwerbspersonen!$F31</f>
        <v>2.3840708641979469</v>
      </c>
      <c r="IC30" s="3">
        <f>100*[5]Monatswerte!IC30/[5]Erwerbspersonen!$F31</f>
        <v>2.5619036559329915</v>
      </c>
      <c r="ID30" s="3">
        <f>100*[5]Monatswerte!ID30/[5]Erwerbspersonen!$F31</f>
        <v>2.4896590842906297</v>
      </c>
      <c r="IE30" s="3">
        <f>100*[5]Monatswerte!IE30/[5]Erwerbspersonen!$F31</f>
        <v>2.5118881832575104</v>
      </c>
      <c r="IF30" s="3">
        <f>100*[5]Monatswerte!IF30/[5]Erwerbspersonen!$F31</f>
        <v>2.6174764033501932</v>
      </c>
      <c r="IG30" s="3">
        <f>100*[5]Monatswerte!IG30/[5]Erwerbspersonen!$F31</f>
        <v>2.8953401404362009</v>
      </c>
      <c r="IH30" s="3">
        <f>100*[5]Monatswerte!IH30/[5]Erwerbspersonen!$F31</f>
        <v>2.9786992615620034</v>
      </c>
      <c r="II30" s="60">
        <f>100*[6]Monatswerte!II30/[6]Erwerbspersonen!$G31</f>
        <v>2.9731419868202833</v>
      </c>
      <c r="IJ30" s="3">
        <f>100*[6]Monatswerte!IJ30/[6]Erwerbspersonen!$G31</f>
        <v>3.0398292837209251</v>
      </c>
      <c r="IK30" s="3">
        <f>100*[6]Monatswerte!IK30/[6]Erwerbspersonen!$G31</f>
        <v>2.8953401404362009</v>
      </c>
      <c r="IL30" s="3">
        <f>100*[6]Monatswerte!IL30/[6]Erwerbspersonen!$G31</f>
        <v>2.9453556131116825</v>
      </c>
      <c r="IM30" s="3">
        <f>100*[6]Monatswerte!IM30/[6]Erwerbspersonen!$G31</f>
        <v>3.0009283605288841</v>
      </c>
      <c r="IN30" s="3">
        <f>100*[6]Monatswerte!IN30/[6]Erwerbspersonen!$G31</f>
        <v>2.995371085787164</v>
      </c>
      <c r="IO30" s="3">
        <f>100*[6]Monatswerte!IO30/[6]Erwerbspersonen!$G31</f>
        <v>2.9564701625951226</v>
      </c>
      <c r="IP30" s="3">
        <f>100*[6]Monatswerte!IP30/[6]Erwerbspersonen!$G31</f>
        <v>3.0064856352706042</v>
      </c>
      <c r="IQ30" s="3">
        <f>100*[6]Monatswerte!IQ30/[6]Erwerbspersonen!$G31</f>
        <v>3.0453865584626452</v>
      </c>
      <c r="IR30" s="3">
        <f>100*[6]Monatswerte!IR30/[6]Erwerbspersonen!$G31</f>
        <v>3.0231574594957644</v>
      </c>
      <c r="IS30" s="3">
        <f>100*[6]Monatswerte!IS30/[6]Erwerbspersonen!$G31</f>
        <v>3.0287147342374849</v>
      </c>
      <c r="IT30" s="3">
        <f>100*[6]Monatswerte!IT30/[6]Erwerbspersonen!$G31</f>
        <v>3.2232193501976902</v>
      </c>
      <c r="IU30" s="60">
        <f>100*[7]Monatswerte!IU30/[7]Erwerbspersonen!$G31</f>
        <v>3.1891991304460316</v>
      </c>
      <c r="IV30" s="3">
        <f>100*[7]Monatswerte!IV30/[7]Erwerbspersonen!$G31</f>
        <v>3.1116838738032464</v>
      </c>
      <c r="IW30" s="3">
        <f>100*[7]Monatswerte!IW30/[7]Erwerbspersonen!$G31</f>
        <v>3.1615151102164654</v>
      </c>
      <c r="IX30" s="3">
        <f>100*[7]Monatswerte!IX30/[7]Erwerbspersonen!$G31</f>
        <v>3.2390303668592511</v>
      </c>
      <c r="IY30" s="3">
        <f>100*[7]Monatswerte!IY30/[7]Erwerbspersonen!$G31</f>
        <v>3.2279567587674247</v>
      </c>
      <c r="IZ30" s="3">
        <f>100*[7]Monatswerte!IZ30/[7]Erwerbspersonen!$G31</f>
        <v>3.3110088194561231</v>
      </c>
      <c r="JA30" s="3">
        <f>100*[7]Monatswerte!JA30/[7]Erwerbspersonen!$G31</f>
        <v>3.3553032518234294</v>
      </c>
      <c r="JB30" s="3">
        <f>100*[7]Monatswerte!JB30/[7]Erwerbspersonen!$G31</f>
        <v>3.4272817044203014</v>
      </c>
      <c r="JC30" s="3">
        <f>100*[7]Monatswerte!JC30/[7]Erwerbspersonen!$G31</f>
        <v>3.4217449003743883</v>
      </c>
      <c r="JD30" s="3">
        <f>100*[7]Monatswerte!JD30/[7]Erwerbspersonen!$G31</f>
        <v>3.5324809812926534</v>
      </c>
      <c r="JE30" s="3">
        <f>100*[7]Monatswerte!JE30/[7]Erwerbspersonen!$G31</f>
        <v>3.4494289206039546</v>
      </c>
      <c r="JF30" s="3">
        <f>100*[7]Monatswerte!JF30/[7]Erwerbspersonen!$G31</f>
        <v>3.5380177853385666</v>
      </c>
      <c r="JG30" s="60">
        <f>100*[7]Monatswerte!JG30/[7]Erwerbspersonen!$G31</f>
        <v>3.5767754136599592</v>
      </c>
      <c r="JH30" s="3">
        <f>100*[7]Monatswerte!JH30/[7]Erwerbspersonen!$G31</f>
        <v>3.4494289206039546</v>
      </c>
      <c r="JI30" s="3">
        <f>100*[7]Monatswerte!JI30/[7]Erwerbspersonen!$G31</f>
        <v>3.3885240760989088</v>
      </c>
    </row>
    <row r="31" spans="1:269" x14ac:dyDescent="0.2"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FO31" s="49"/>
      <c r="GA31" s="49"/>
      <c r="GM31" s="49"/>
      <c r="GX31" s="31"/>
      <c r="HK31" s="62"/>
      <c r="HV31" s="31"/>
      <c r="IU31" s="68"/>
    </row>
    <row r="32" spans="1:269" x14ac:dyDescent="0.2"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FO32" s="49"/>
      <c r="GA32" s="49"/>
      <c r="GM32" s="49"/>
      <c r="GX32" s="31"/>
      <c r="HK32" s="62"/>
      <c r="HV32" s="31"/>
    </row>
    <row r="33" spans="171:230" x14ac:dyDescent="0.2">
      <c r="FO33" s="49"/>
      <c r="GA33" s="49"/>
      <c r="GM33" s="49"/>
      <c r="GX33" s="31"/>
      <c r="HK33" s="49"/>
      <c r="HV33" s="31"/>
    </row>
    <row r="34" spans="171:230" x14ac:dyDescent="0.2">
      <c r="FO34" s="49"/>
      <c r="GA34" s="49"/>
      <c r="GM34" s="49"/>
      <c r="GX34" s="31"/>
      <c r="HK34" s="49"/>
      <c r="HV34" s="31"/>
    </row>
    <row r="35" spans="171:230" x14ac:dyDescent="0.2">
      <c r="FO35" s="49"/>
      <c r="GA35" s="49"/>
      <c r="GM35" s="49"/>
      <c r="GX35" s="31"/>
      <c r="HK35" s="49"/>
      <c r="HV35" s="31"/>
    </row>
    <row r="36" spans="171:230" x14ac:dyDescent="0.2">
      <c r="FO36" s="49"/>
      <c r="GA36" s="49"/>
      <c r="GM36" s="49"/>
      <c r="GX36" s="31"/>
      <c r="HK36" s="49"/>
      <c r="HV36" s="31"/>
    </row>
    <row r="37" spans="171:230" x14ac:dyDescent="0.2">
      <c r="FO37" s="49"/>
      <c r="GA37" s="49"/>
      <c r="GM37" s="49"/>
      <c r="GX37" s="31"/>
      <c r="HK37" s="49"/>
      <c r="HV37" s="31"/>
    </row>
    <row r="38" spans="171:230" x14ac:dyDescent="0.2">
      <c r="FO38" s="49"/>
      <c r="GA38" s="49"/>
      <c r="GM38" s="49"/>
      <c r="GX38" s="31"/>
      <c r="HK38" s="49"/>
      <c r="HV38" s="31"/>
    </row>
    <row r="39" spans="171:230" x14ac:dyDescent="0.2">
      <c r="FO39" s="49"/>
      <c r="GA39" s="49"/>
      <c r="GM39" s="49"/>
      <c r="GX39" s="31"/>
      <c r="HK39" s="49"/>
      <c r="HV39" s="3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M17" sqref="M17"/>
    </sheetView>
  </sheetViews>
  <sheetFormatPr baseColWidth="10" defaultColWidth="11.42578125" defaultRowHeight="12.75" x14ac:dyDescent="0.2"/>
  <cols>
    <col min="1" max="1" width="25.28515625" style="1" bestFit="1" customWidth="1"/>
    <col min="2" max="3" width="11.42578125" style="1"/>
    <col min="4" max="4" width="17.7109375" style="1" bestFit="1" customWidth="1"/>
    <col min="5" max="5" width="17.7109375" style="36" bestFit="1" customWidth="1"/>
    <col min="6" max="6" width="17.42578125" style="1" bestFit="1" customWidth="1"/>
    <col min="7" max="16384" width="11.42578125" style="1"/>
  </cols>
  <sheetData>
    <row r="1" spans="1:8" ht="14.25" x14ac:dyDescent="0.25">
      <c r="A1" s="4" t="s">
        <v>47</v>
      </c>
    </row>
    <row r="3" spans="1:8" ht="14.25" x14ac:dyDescent="0.25">
      <c r="B3" s="4" t="s">
        <v>65</v>
      </c>
      <c r="C3" s="4" t="s">
        <v>64</v>
      </c>
      <c r="D3" s="40" t="s">
        <v>66</v>
      </c>
      <c r="E3" s="40" t="s">
        <v>73</v>
      </c>
      <c r="F3" s="4" t="s">
        <v>76</v>
      </c>
      <c r="G3" s="4" t="s">
        <v>81</v>
      </c>
    </row>
    <row r="4" spans="1:8" x14ac:dyDescent="0.2">
      <c r="A4" s="1" t="s">
        <v>48</v>
      </c>
      <c r="B4" s="1">
        <v>132754</v>
      </c>
      <c r="C4" s="1">
        <v>143585</v>
      </c>
      <c r="D4" s="36">
        <v>145979</v>
      </c>
      <c r="E4" s="36">
        <v>150573</v>
      </c>
      <c r="F4" s="36">
        <v>148614.95113100001</v>
      </c>
      <c r="G4" s="32">
        <v>149362.15</v>
      </c>
      <c r="H4" s="3"/>
    </row>
    <row r="5" spans="1:8" x14ac:dyDescent="0.2">
      <c r="A5" s="1" t="s">
        <v>1</v>
      </c>
      <c r="B5" s="1">
        <v>132754</v>
      </c>
      <c r="C5" s="1">
        <v>143585</v>
      </c>
      <c r="D5" s="36">
        <v>145979</v>
      </c>
      <c r="E5" s="36">
        <v>150573</v>
      </c>
      <c r="F5" s="36">
        <v>148614.95113100001</v>
      </c>
      <c r="G5" s="32">
        <v>149362.15</v>
      </c>
      <c r="H5" s="3"/>
    </row>
    <row r="6" spans="1:8" x14ac:dyDescent="0.2">
      <c r="A6" s="1" t="s">
        <v>2</v>
      </c>
      <c r="B6" s="1">
        <v>74870</v>
      </c>
      <c r="C6" s="1">
        <v>78629</v>
      </c>
      <c r="D6" s="36">
        <v>79443</v>
      </c>
      <c r="E6" s="36">
        <v>81477</v>
      </c>
      <c r="F6" s="36">
        <v>80382.729730000006</v>
      </c>
      <c r="G6" s="32">
        <v>80864.566542</v>
      </c>
      <c r="H6" s="3"/>
    </row>
    <row r="7" spans="1:8" x14ac:dyDescent="0.2">
      <c r="A7" s="1" t="s">
        <v>3</v>
      </c>
      <c r="B7" s="1">
        <v>57884</v>
      </c>
      <c r="C7" s="1">
        <v>64956</v>
      </c>
      <c r="D7" s="36">
        <v>66536</v>
      </c>
      <c r="E7" s="36">
        <v>69096</v>
      </c>
      <c r="F7" s="36">
        <v>68232.221401000003</v>
      </c>
      <c r="G7" s="32">
        <v>68497.587786999997</v>
      </c>
      <c r="H7" s="3"/>
    </row>
    <row r="8" spans="1:8" x14ac:dyDescent="0.2">
      <c r="A8" s="1" t="s">
        <v>4</v>
      </c>
      <c r="B8" s="1">
        <v>108441</v>
      </c>
      <c r="C8" s="1">
        <v>115018</v>
      </c>
      <c r="D8" s="36">
        <v>114541</v>
      </c>
      <c r="E8" s="36">
        <v>116059</v>
      </c>
      <c r="F8" s="36">
        <v>112394.69218699999</v>
      </c>
      <c r="G8" s="32">
        <v>110000.67</v>
      </c>
      <c r="H8" s="3"/>
    </row>
    <row r="9" spans="1:8" x14ac:dyDescent="0.2">
      <c r="A9" s="1" t="s">
        <v>5</v>
      </c>
      <c r="B9" s="1">
        <v>24313</v>
      </c>
      <c r="C9" s="1">
        <v>28567</v>
      </c>
      <c r="D9" s="36">
        <v>31437</v>
      </c>
      <c r="E9" s="36">
        <v>34514</v>
      </c>
      <c r="F9" s="36">
        <v>36220.258944000001</v>
      </c>
      <c r="G9" s="32">
        <v>39361.480000000003</v>
      </c>
      <c r="H9" s="3"/>
    </row>
    <row r="10" spans="1:8" x14ac:dyDescent="0.2">
      <c r="A10" s="1" t="s">
        <v>49</v>
      </c>
      <c r="D10" s="36"/>
      <c r="F10" s="36"/>
      <c r="G10" s="32"/>
    </row>
    <row r="11" spans="1:8" x14ac:dyDescent="0.2">
      <c r="A11" s="1" t="s">
        <v>50</v>
      </c>
      <c r="B11" s="1">
        <v>8441</v>
      </c>
      <c r="C11" s="1">
        <v>7939</v>
      </c>
      <c r="D11" s="36">
        <v>7183</v>
      </c>
      <c r="E11" s="36">
        <v>6667</v>
      </c>
      <c r="F11" s="36">
        <v>5344.9530919999997</v>
      </c>
      <c r="G11" s="32">
        <v>5094.8713420000004</v>
      </c>
    </row>
    <row r="12" spans="1:8" x14ac:dyDescent="0.2">
      <c r="A12" s="1" t="s">
        <v>51</v>
      </c>
      <c r="B12" s="1">
        <v>11039</v>
      </c>
      <c r="C12" s="1">
        <v>13117</v>
      </c>
      <c r="D12" s="36">
        <v>12890</v>
      </c>
      <c r="E12" s="36">
        <v>12195</v>
      </c>
      <c r="F12" s="36">
        <v>11257.900237</v>
      </c>
      <c r="G12" s="32">
        <v>10176.372696</v>
      </c>
    </row>
    <row r="13" spans="1:8" x14ac:dyDescent="0.2">
      <c r="A13" s="1" t="s">
        <v>52</v>
      </c>
      <c r="B13" s="1">
        <v>12729</v>
      </c>
      <c r="C13" s="1">
        <v>12728</v>
      </c>
      <c r="D13" s="36">
        <v>15379</v>
      </c>
      <c r="E13" s="36">
        <v>15473</v>
      </c>
      <c r="F13" s="36">
        <v>15284.591861000001</v>
      </c>
      <c r="G13" s="32">
        <v>14590.718894</v>
      </c>
    </row>
    <row r="14" spans="1:8" x14ac:dyDescent="0.2">
      <c r="A14" s="1" t="s">
        <v>53</v>
      </c>
      <c r="B14" s="1">
        <v>34547</v>
      </c>
      <c r="C14" s="1">
        <v>26742</v>
      </c>
      <c r="D14" s="36">
        <v>28371</v>
      </c>
      <c r="E14" s="36">
        <f>15194+15097</f>
        <v>30291</v>
      </c>
      <c r="F14" s="36">
        <v>32471.569025999997</v>
      </c>
      <c r="G14" s="32">
        <v>34417</v>
      </c>
    </row>
    <row r="15" spans="1:8" x14ac:dyDescent="0.2">
      <c r="A15" s="1" t="s">
        <v>54</v>
      </c>
      <c r="B15" s="1">
        <v>32924</v>
      </c>
      <c r="C15" s="1">
        <v>39821</v>
      </c>
      <c r="D15" s="36">
        <v>35584</v>
      </c>
      <c r="E15" s="36">
        <f>15731+18517</f>
        <v>34248</v>
      </c>
      <c r="F15" s="36">
        <v>31282.300984000001</v>
      </c>
      <c r="G15" s="32">
        <v>31560</v>
      </c>
    </row>
    <row r="16" spans="1:8" x14ac:dyDescent="0.2">
      <c r="A16" s="1" t="s">
        <v>55</v>
      </c>
      <c r="B16" s="1">
        <v>25323</v>
      </c>
      <c r="C16" s="1">
        <v>31632</v>
      </c>
      <c r="D16" s="36">
        <v>34345</v>
      </c>
      <c r="E16" s="36">
        <f>19650+17951</f>
        <v>37601</v>
      </c>
      <c r="F16" s="36">
        <v>37798.556336000001</v>
      </c>
      <c r="G16" s="32">
        <v>36552</v>
      </c>
    </row>
    <row r="17" spans="1:7" x14ac:dyDescent="0.2">
      <c r="A17" s="1" t="s">
        <v>56</v>
      </c>
      <c r="B17" s="1">
        <v>7751</v>
      </c>
      <c r="C17" s="1">
        <v>11606</v>
      </c>
      <c r="D17" s="36">
        <v>12226</v>
      </c>
      <c r="E17" s="36">
        <f>10573+3524</f>
        <v>14097</v>
      </c>
      <c r="F17" s="36">
        <v>15175.079594999999</v>
      </c>
      <c r="G17" s="32">
        <v>16970</v>
      </c>
    </row>
    <row r="18" spans="1:7" ht="14.25" x14ac:dyDescent="0.25">
      <c r="C18" s="43"/>
      <c r="D18" s="36"/>
      <c r="F18" s="36"/>
      <c r="G18" s="32"/>
    </row>
    <row r="19" spans="1:7" ht="14.25" x14ac:dyDescent="0.25">
      <c r="A19" s="5" t="s">
        <v>57</v>
      </c>
      <c r="B19" s="43"/>
      <c r="D19" s="36"/>
      <c r="F19" s="36"/>
      <c r="G19" s="32"/>
    </row>
    <row r="20" spans="1:7" x14ac:dyDescent="0.2">
      <c r="A20" s="1" t="s">
        <v>58</v>
      </c>
      <c r="B20" s="1">
        <v>48023</v>
      </c>
      <c r="C20" s="1">
        <v>52067</v>
      </c>
      <c r="D20" s="36">
        <v>52871.617007000008</v>
      </c>
      <c r="E20" s="36">
        <v>52798.958748000005</v>
      </c>
      <c r="F20" s="36">
        <v>54121.551214000006</v>
      </c>
      <c r="G20" s="32">
        <v>53841.393561000004</v>
      </c>
    </row>
    <row r="21" spans="1:7" x14ac:dyDescent="0.2">
      <c r="A21" s="1" t="s">
        <v>59</v>
      </c>
      <c r="B21" s="1">
        <v>12672</v>
      </c>
      <c r="C21" s="1">
        <v>12452</v>
      </c>
      <c r="D21" s="36">
        <v>13554</v>
      </c>
      <c r="E21" s="36">
        <v>13661</v>
      </c>
      <c r="F21" s="36">
        <v>13083.517882000002</v>
      </c>
      <c r="G21" s="32">
        <v>13870.977122</v>
      </c>
    </row>
    <row r="22" spans="1:7" x14ac:dyDescent="0.2">
      <c r="A22" s="1" t="s">
        <v>60</v>
      </c>
      <c r="B22" s="1">
        <v>48185</v>
      </c>
      <c r="C22" s="1">
        <v>53781</v>
      </c>
      <c r="D22" s="36">
        <v>53926.820038000005</v>
      </c>
      <c r="E22" s="36">
        <v>56732.863106999997</v>
      </c>
      <c r="F22" s="36">
        <v>55459.983252999999</v>
      </c>
      <c r="G22" s="32">
        <v>55755.751409000004</v>
      </c>
    </row>
    <row r="23" spans="1:7" x14ac:dyDescent="0.2">
      <c r="A23" s="1" t="s">
        <v>61</v>
      </c>
      <c r="B23" s="1">
        <v>7285</v>
      </c>
      <c r="C23" s="1">
        <v>7317</v>
      </c>
      <c r="D23" s="36">
        <v>7576.8633769999997</v>
      </c>
      <c r="E23" s="36">
        <v>7768.2975459999998</v>
      </c>
      <c r="F23" s="36">
        <v>7955.4672220000002</v>
      </c>
      <c r="G23" s="32">
        <v>7833.0715870000004</v>
      </c>
    </row>
    <row r="24" spans="1:7" x14ac:dyDescent="0.2">
      <c r="A24" s="1" t="s">
        <v>62</v>
      </c>
      <c r="B24" s="1">
        <v>16589</v>
      </c>
      <c r="C24" s="1">
        <v>17970</v>
      </c>
      <c r="D24" s="36">
        <v>18049.365184000002</v>
      </c>
      <c r="E24" s="36">
        <v>19611.935013000002</v>
      </c>
      <c r="F24" s="36">
        <v>17994.431559999997</v>
      </c>
      <c r="G24" s="32">
        <v>18060.960650000001</v>
      </c>
    </row>
    <row r="25" spans="1:7" ht="14.25" x14ac:dyDescent="0.25">
      <c r="C25" s="43"/>
      <c r="D25" s="44"/>
      <c r="F25" s="36"/>
      <c r="G25" s="32"/>
    </row>
    <row r="26" spans="1:7" ht="14.25" x14ac:dyDescent="0.25">
      <c r="A26" s="5" t="s">
        <v>63</v>
      </c>
      <c r="B26" s="43"/>
      <c r="D26" s="44"/>
      <c r="F26" s="36"/>
      <c r="G26" s="32"/>
    </row>
    <row r="27" spans="1:7" x14ac:dyDescent="0.2">
      <c r="A27" s="1" t="s">
        <v>58</v>
      </c>
      <c r="B27" s="1">
        <v>48023</v>
      </c>
      <c r="C27" s="1">
        <v>52067</v>
      </c>
      <c r="D27" s="36">
        <v>52871.617007000008</v>
      </c>
      <c r="E27" s="36">
        <v>52798.958748000005</v>
      </c>
      <c r="F27" s="36">
        <v>54121.551214000006</v>
      </c>
      <c r="G27" s="32">
        <v>53841.393561000004</v>
      </c>
    </row>
    <row r="28" spans="1:7" x14ac:dyDescent="0.2">
      <c r="A28" s="1" t="s">
        <v>59</v>
      </c>
      <c r="B28" s="1">
        <v>12672</v>
      </c>
      <c r="C28" s="1">
        <v>12452</v>
      </c>
      <c r="D28" s="36">
        <v>13554</v>
      </c>
      <c r="E28" s="36">
        <v>13661</v>
      </c>
      <c r="F28" s="36">
        <v>13083.517882000002</v>
      </c>
      <c r="G28" s="32">
        <v>13870.977122</v>
      </c>
    </row>
    <row r="29" spans="1:7" x14ac:dyDescent="0.2">
      <c r="A29" s="1" t="s">
        <v>60</v>
      </c>
      <c r="B29" s="1">
        <v>48185</v>
      </c>
      <c r="C29" s="1">
        <v>53781</v>
      </c>
      <c r="D29" s="36">
        <v>53926.820038000005</v>
      </c>
      <c r="E29" s="36">
        <v>56732.863106999997</v>
      </c>
      <c r="F29" s="36">
        <v>55459.983252999999</v>
      </c>
      <c r="G29" s="32">
        <v>55755.751409000004</v>
      </c>
    </row>
    <row r="30" spans="1:7" x14ac:dyDescent="0.2">
      <c r="A30" s="1" t="s">
        <v>61</v>
      </c>
      <c r="B30" s="1">
        <v>7285</v>
      </c>
      <c r="C30" s="1">
        <v>7317</v>
      </c>
      <c r="D30" s="36">
        <v>7576.8633769999997</v>
      </c>
      <c r="E30" s="36">
        <v>7768.2975459999998</v>
      </c>
      <c r="F30" s="36">
        <v>7955.4672220000002</v>
      </c>
      <c r="G30" s="32">
        <v>7833.0715870000004</v>
      </c>
    </row>
    <row r="31" spans="1:7" x14ac:dyDescent="0.2">
      <c r="A31" s="1" t="s">
        <v>62</v>
      </c>
      <c r="B31" s="1">
        <v>16589</v>
      </c>
      <c r="C31" s="1">
        <v>17970</v>
      </c>
      <c r="D31" s="36">
        <v>18049.365184000002</v>
      </c>
      <c r="E31" s="36">
        <v>19611.935013000002</v>
      </c>
      <c r="F31" s="36">
        <v>17994.431559999997</v>
      </c>
      <c r="G31" s="32">
        <v>18060.960650000001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Jahreswerte</vt:lpstr>
      <vt:lpstr>Monatswerte</vt:lpstr>
      <vt:lpstr>Quoten</vt:lpstr>
      <vt:lpstr>Erwerbspersonen</vt:lpstr>
      <vt:lpstr>Jahreswerte!Drucktitel</vt:lpstr>
      <vt:lpstr>Monatswerte!Drucktitel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Christian</dc:creator>
  <cp:lastModifiedBy>Balles Patrick</cp:lastModifiedBy>
  <cp:lastPrinted>2016-07-13T13:05:04Z</cp:lastPrinted>
  <dcterms:created xsi:type="dcterms:W3CDTF">2016-05-17T08:13:07Z</dcterms:created>
  <dcterms:modified xsi:type="dcterms:W3CDTF">2026-04-12T11:57:35Z</dcterms:modified>
</cp:coreProperties>
</file>